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2030" windowHeight="781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F52" i="1"/>
  <c r="Y52"/>
  <c r="X52"/>
  <c r="F52"/>
  <c r="D52"/>
  <c r="B52"/>
  <c r="B51"/>
  <c r="AF14"/>
  <c r="AF13"/>
  <c r="AF12"/>
  <c r="Y14"/>
  <c r="Y13"/>
  <c r="Y12"/>
  <c r="N33"/>
  <c r="N32"/>
  <c r="N31"/>
  <c r="N27"/>
  <c r="N26"/>
  <c r="N16"/>
  <c r="N14"/>
  <c r="N13"/>
  <c r="N12"/>
  <c r="F14"/>
  <c r="F53"/>
  <c r="F51"/>
  <c r="F50"/>
  <c r="F49"/>
  <c r="F48"/>
  <c r="F39"/>
  <c r="F38"/>
  <c r="F37"/>
  <c r="F36"/>
  <c r="F35"/>
  <c r="F34"/>
  <c r="F33"/>
  <c r="F32"/>
  <c r="F30"/>
  <c r="F28"/>
  <c r="F27"/>
  <c r="F25"/>
  <c r="F24"/>
  <c r="F22"/>
  <c r="F21"/>
  <c r="F20"/>
  <c r="F19"/>
  <c r="F18"/>
  <c r="F17"/>
  <c r="F16"/>
  <c r="F12"/>
  <c r="F13"/>
  <c r="F11"/>
  <c r="F23"/>
  <c r="F46"/>
  <c r="B25"/>
  <c r="B24"/>
  <c r="B13"/>
  <c r="B55"/>
  <c r="B54"/>
  <c r="B12"/>
  <c r="D8"/>
  <c r="AD43"/>
  <c r="W43"/>
  <c r="AF43"/>
  <c r="AE43"/>
  <c r="X43"/>
  <c r="Y43"/>
  <c r="AD52"/>
  <c r="AC52"/>
  <c r="AB51"/>
  <c r="AB53"/>
  <c r="AD53" s="1"/>
  <c r="AF53" s="1"/>
  <c r="AB52"/>
  <c r="AB34"/>
  <c r="AB25"/>
  <c r="AB22"/>
  <c r="AB21"/>
  <c r="AB14"/>
  <c r="AB13"/>
  <c r="AB12"/>
  <c r="W52"/>
  <c r="U51"/>
  <c r="AD6"/>
  <c r="U52"/>
  <c r="U34"/>
  <c r="U25"/>
  <c r="U22"/>
  <c r="U21"/>
  <c r="U14"/>
  <c r="U13"/>
  <c r="U12"/>
  <c r="X9"/>
  <c r="X8"/>
  <c r="AE53"/>
  <c r="AE51"/>
  <c r="AE34"/>
  <c r="AE25"/>
  <c r="AE24"/>
  <c r="AE12"/>
  <c r="AE13"/>
  <c r="AE14"/>
  <c r="AE21"/>
  <c r="AE22"/>
  <c r="AE11"/>
  <c r="X12"/>
  <c r="X13"/>
  <c r="X14"/>
  <c r="X21"/>
  <c r="X22"/>
  <c r="X23"/>
  <c r="X24"/>
  <c r="X25"/>
  <c r="X34"/>
  <c r="X51"/>
  <c r="X53"/>
  <c r="X11"/>
  <c r="AC53"/>
  <c r="V51"/>
  <c r="V53"/>
  <c r="U53"/>
  <c r="V14"/>
  <c r="V24"/>
  <c r="K39"/>
  <c r="K38"/>
  <c r="K36"/>
  <c r="K37"/>
  <c r="C34"/>
  <c r="K35"/>
  <c r="K34"/>
  <c r="V34" s="1"/>
  <c r="C30"/>
  <c r="K28"/>
  <c r="K25"/>
  <c r="V25" s="1"/>
  <c r="K24"/>
  <c r="K22"/>
  <c r="V22" s="1"/>
  <c r="K21"/>
  <c r="V21" s="1"/>
  <c r="K16"/>
  <c r="C16"/>
  <c r="K13"/>
  <c r="V13" s="1"/>
  <c r="K11"/>
  <c r="V11" s="1"/>
  <c r="C26"/>
  <c r="C27"/>
  <c r="C25"/>
  <c r="C17"/>
  <c r="C11"/>
  <c r="C28"/>
  <c r="C24"/>
  <c r="C22"/>
  <c r="C21"/>
  <c r="C19"/>
  <c r="F47"/>
  <c r="F44"/>
  <c r="AE54"/>
  <c r="X54"/>
  <c r="M54"/>
  <c r="X55"/>
  <c r="AE55"/>
  <c r="M55"/>
  <c r="B22" l="1"/>
  <c r="D22" s="1"/>
  <c r="B21"/>
  <c r="U11" s="1"/>
  <c r="B34"/>
  <c r="D34" s="1"/>
  <c r="D24"/>
  <c r="B14"/>
  <c r="D14" s="1"/>
  <c r="W51"/>
  <c r="Y51" s="1"/>
  <c r="AD51"/>
  <c r="AF51" s="1"/>
  <c r="W14"/>
  <c r="B53"/>
  <c r="D13"/>
  <c r="AC12"/>
  <c r="AC13"/>
  <c r="AD13" s="1"/>
  <c r="AC14"/>
  <c r="AC22"/>
  <c r="AC24"/>
  <c r="AC34"/>
  <c r="AC51"/>
  <c r="W13"/>
  <c r="W34"/>
  <c r="Y34" s="1"/>
  <c r="W53"/>
  <c r="Y53" s="1"/>
  <c r="Y5"/>
  <c r="Z5" s="1"/>
  <c r="Y4"/>
  <c r="F40"/>
  <c r="Z6"/>
  <c r="Z4"/>
  <c r="Y6"/>
  <c r="AC21"/>
  <c r="W22"/>
  <c r="Y22" s="1"/>
  <c r="W24"/>
  <c r="Y24" s="1"/>
  <c r="AC25"/>
  <c r="AC11"/>
  <c r="D50"/>
  <c r="B50"/>
  <c r="D51"/>
  <c r="D49"/>
  <c r="B49"/>
  <c r="B48"/>
  <c r="D48"/>
  <c r="B39"/>
  <c r="B38"/>
  <c r="B37"/>
  <c r="D37" s="1"/>
  <c r="B36"/>
  <c r="D36" s="1"/>
  <c r="B35"/>
  <c r="B20"/>
  <c r="D20" s="1"/>
  <c r="B19"/>
  <c r="B18"/>
  <c r="B17"/>
  <c r="B16"/>
  <c r="D12"/>
  <c r="J13"/>
  <c r="M13"/>
  <c r="L13"/>
  <c r="N30"/>
  <c r="E31"/>
  <c r="M31" s="1"/>
  <c r="J33"/>
  <c r="L33" s="1"/>
  <c r="L31"/>
  <c r="B33"/>
  <c r="D33" s="1"/>
  <c r="M33"/>
  <c r="M12"/>
  <c r="M14"/>
  <c r="M16"/>
  <c r="M21"/>
  <c r="M22"/>
  <c r="M24"/>
  <c r="M25"/>
  <c r="M26"/>
  <c r="M27"/>
  <c r="M28"/>
  <c r="M30"/>
  <c r="M32"/>
  <c r="M34"/>
  <c r="M35"/>
  <c r="M36"/>
  <c r="M37"/>
  <c r="M38"/>
  <c r="M39"/>
  <c r="M11"/>
  <c r="J39"/>
  <c r="J38"/>
  <c r="J35"/>
  <c r="J37" s="1"/>
  <c r="J32"/>
  <c r="J30"/>
  <c r="L30" s="1"/>
  <c r="J28"/>
  <c r="J27"/>
  <c r="L27" s="1"/>
  <c r="J26"/>
  <c r="J16"/>
  <c r="L16"/>
  <c r="L26"/>
  <c r="L32"/>
  <c r="L36"/>
  <c r="N36" s="1"/>
  <c r="K14"/>
  <c r="K12"/>
  <c r="V12" s="1"/>
  <c r="W12" s="1"/>
  <c r="S5"/>
  <c r="S6"/>
  <c r="S4"/>
  <c r="N5"/>
  <c r="N6"/>
  <c r="N7"/>
  <c r="N8"/>
  <c r="N4"/>
  <c r="D39"/>
  <c r="C39"/>
  <c r="D38"/>
  <c r="C36"/>
  <c r="C35"/>
  <c r="D16"/>
  <c r="B11"/>
  <c r="D11" s="1"/>
  <c r="F31"/>
  <c r="F57"/>
  <c r="B30"/>
  <c r="D30" s="1"/>
  <c r="D28"/>
  <c r="D26"/>
  <c r="D27"/>
  <c r="D25"/>
  <c r="D17"/>
  <c r="F62"/>
  <c r="F61"/>
  <c r="F60"/>
  <c r="F59"/>
  <c r="F58"/>
  <c r="F45"/>
  <c r="F41" s="1"/>
  <c r="C37"/>
  <c r="C38"/>
  <c r="D18"/>
  <c r="D32"/>
  <c r="H6"/>
  <c r="H7" s="1"/>
  <c r="AB11" l="1"/>
  <c r="F54"/>
  <c r="AD12"/>
  <c r="U54"/>
  <c r="Y54" s="1"/>
  <c r="AD34"/>
  <c r="AF34" s="1"/>
  <c r="AD14"/>
  <c r="W25"/>
  <c r="Y25" s="1"/>
  <c r="AD25"/>
  <c r="AF25" s="1"/>
  <c r="AD11"/>
  <c r="AF11" s="1"/>
  <c r="AD24"/>
  <c r="AF24" s="1"/>
  <c r="AD22"/>
  <c r="AF22" s="1"/>
  <c r="W21"/>
  <c r="AD21"/>
  <c r="AF21" s="1"/>
  <c r="J34"/>
  <c r="J12"/>
  <c r="L12" s="1"/>
  <c r="W7"/>
  <c r="W11" s="1"/>
  <c r="Y11" s="1"/>
  <c r="D53"/>
  <c r="D35"/>
  <c r="L37"/>
  <c r="N37" s="1"/>
  <c r="D19"/>
  <c r="D21"/>
  <c r="L28"/>
  <c r="N28" s="1"/>
  <c r="L34"/>
  <c r="N34" s="1"/>
  <c r="L39"/>
  <c r="N39" s="1"/>
  <c r="S8"/>
  <c r="L35"/>
  <c r="N35" s="1"/>
  <c r="L38"/>
  <c r="N38" s="1"/>
  <c r="F42"/>
  <c r="F43"/>
  <c r="U55" l="1"/>
  <c r="Y55" s="1"/>
  <c r="Y21"/>
  <c r="AB54"/>
  <c r="AF54" s="1"/>
  <c r="U23"/>
  <c r="Y23" s="1"/>
  <c r="AB23"/>
  <c r="AF23" s="1"/>
  <c r="J54"/>
  <c r="N54" s="1"/>
  <c r="AB55"/>
  <c r="AF55" s="1"/>
  <c r="B23"/>
  <c r="F55"/>
  <c r="J14"/>
  <c r="L14" s="1"/>
  <c r="J24"/>
  <c r="L24" s="1"/>
  <c r="N24" s="1"/>
  <c r="J21"/>
  <c r="L21" s="1"/>
  <c r="N21" s="1"/>
  <c r="J11"/>
  <c r="L11" s="1"/>
  <c r="N11" s="1"/>
  <c r="J22"/>
  <c r="L22" s="1"/>
  <c r="N22" s="1"/>
  <c r="J25"/>
  <c r="L25" s="1"/>
  <c r="N25" s="1"/>
  <c r="J23" l="1"/>
  <c r="N23" s="1"/>
  <c r="N29"/>
  <c r="J55"/>
  <c r="N55" s="1"/>
</calcChain>
</file>

<file path=xl/comments1.xml><?xml version="1.0" encoding="utf-8"?>
<comments xmlns="http://schemas.openxmlformats.org/spreadsheetml/2006/main">
  <authors>
    <author>ddenkenberger</author>
    <author>David Denkenberger</author>
  </authors>
  <commentList>
    <comment ref="P2" authorId="0">
      <text>
        <r>
          <rPr>
            <b/>
            <sz val="9"/>
            <color indexed="81"/>
            <rFont val="Tahoma"/>
            <family val="2"/>
          </rPr>
          <t>ddenkenberger:</t>
        </r>
        <r>
          <rPr>
            <sz val="9"/>
            <color indexed="81"/>
            <rFont val="Tahoma"/>
            <family val="2"/>
          </rPr>
          <t xml:space="preserve">
Time scale for climate change, but many environmentalists want to look further</t>
        </r>
      </text>
    </comment>
    <comment ref="M3" authorId="0">
      <text>
        <r>
          <rPr>
            <b/>
            <sz val="9"/>
            <color indexed="81"/>
            <rFont val="Tahoma"/>
            <family val="2"/>
          </rPr>
          <t>ddenkenberger:</t>
        </r>
        <r>
          <rPr>
            <sz val="9"/>
            <color indexed="81"/>
            <rFont val="Tahoma"/>
            <family val="2"/>
          </rPr>
          <t xml:space="preserve">
These are roughly natural regeneration times</t>
        </r>
      </text>
    </comment>
    <comment ref="Y3" authorId="0">
      <text>
        <r>
          <rPr>
            <b/>
            <sz val="9"/>
            <color indexed="81"/>
            <rFont val="Tahoma"/>
            <charset val="1"/>
          </rPr>
          <t>ddenkenberger:</t>
        </r>
        <r>
          <rPr>
            <sz val="9"/>
            <color indexed="81"/>
            <rFont val="Tahoma"/>
            <charset val="1"/>
          </rPr>
          <t xml:space="preserve">
Some say more sensitive, some say less</t>
        </r>
      </text>
    </comment>
    <comment ref="Q4" authorId="0">
      <text>
        <r>
          <rPr>
            <b/>
            <sz val="9"/>
            <color indexed="81"/>
            <rFont val="Tahoma"/>
            <charset val="1"/>
          </rPr>
          <t>ddenkenberger:</t>
        </r>
        <r>
          <rPr>
            <sz val="9"/>
            <color indexed="81"/>
            <rFont val="Tahoma"/>
            <charset val="1"/>
          </rPr>
          <t xml:space="preserve">
http://en.wikipedia.org/wiki/Phylum#Plant_divisions</t>
        </r>
      </text>
    </comment>
    <comment ref="Y4" authorId="0">
      <text>
        <r>
          <rPr>
            <b/>
            <sz val="9"/>
            <color indexed="81"/>
            <rFont val="Tahoma"/>
            <charset val="1"/>
          </rPr>
          <t>ddenkenberger:</t>
        </r>
        <r>
          <rPr>
            <sz val="9"/>
            <color indexed="81"/>
            <rFont val="Tahoma"/>
            <charset val="1"/>
          </rPr>
          <t xml:space="preserve">
.1 kg, 10% brain</t>
        </r>
      </text>
    </comment>
    <comment ref="B5" authorId="1">
      <text>
        <r>
          <rPr>
            <b/>
            <sz val="9"/>
            <color indexed="81"/>
            <rFont val="Tahoma"/>
            <family val="2"/>
          </rPr>
          <t>David Denkenberger:</t>
        </r>
        <r>
          <rPr>
            <sz val="9"/>
            <color indexed="81"/>
            <rFont val="Tahoma"/>
            <family val="2"/>
          </rPr>
          <t xml:space="preserve">
$1/day life can be saved for ~$3,000, so this is average over 5 billion non-rich people</t>
        </r>
      </text>
    </comment>
    <comment ref="L5" authorId="0">
      <text>
        <r>
          <rPr>
            <b/>
            <sz val="9"/>
            <color indexed="81"/>
            <rFont val="Tahoma"/>
            <charset val="1"/>
          </rPr>
          <t>ddenkenberger:</t>
        </r>
        <r>
          <rPr>
            <sz val="9"/>
            <color indexed="81"/>
            <rFont val="Tahoma"/>
            <charset val="1"/>
          </rPr>
          <t xml:space="preserve">
Not sure.</t>
        </r>
      </text>
    </comment>
    <comment ref="Y5" authorId="0">
      <text>
        <r>
          <rPr>
            <b/>
            <sz val="9"/>
            <color indexed="81"/>
            <rFont val="Tahoma"/>
            <charset val="1"/>
          </rPr>
          <t>ddenkenberger:</t>
        </r>
        <r>
          <rPr>
            <sz val="9"/>
            <color indexed="81"/>
            <rFont val="Tahoma"/>
            <charset val="1"/>
          </rPr>
          <t xml:space="preserve">
1 g fish, 1% brain</t>
        </r>
      </text>
    </comment>
    <comment ref="C6" authorId="1">
      <text>
        <r>
          <rPr>
            <b/>
            <sz val="9"/>
            <color indexed="81"/>
            <rFont val="Tahoma"/>
            <family val="2"/>
          </rPr>
          <t>David Denkenberger:</t>
        </r>
        <r>
          <rPr>
            <sz val="9"/>
            <color indexed="81"/>
            <rFont val="Tahoma"/>
            <family val="2"/>
          </rPr>
          <t xml:space="preserve">
Typical US value; contingent valuation is much lower</t>
        </r>
      </text>
    </comment>
    <comment ref="L6" authorId="0">
      <text>
        <r>
          <rPr>
            <b/>
            <sz val="9"/>
            <color indexed="81"/>
            <rFont val="Tahoma"/>
            <charset val="1"/>
          </rPr>
          <t>ddenkenberger:</t>
        </r>
        <r>
          <rPr>
            <sz val="9"/>
            <color indexed="81"/>
            <rFont val="Tahoma"/>
            <charset val="1"/>
          </rPr>
          <t xml:space="preserve">
Skeptical Environmentalist:  number of families: marine animals 800, land plants 700, insects 600, and four-legged vertebrates 300, or 2400. Say double for the plants and animals not covered, and the bacteria, fungi, and protists.</t>
        </r>
      </text>
    </comment>
    <comment ref="Y6" authorId="0">
      <text>
        <r>
          <rPr>
            <b/>
            <sz val="9"/>
            <color indexed="81"/>
            <rFont val="Tahoma"/>
            <charset val="1"/>
          </rPr>
          <t>ddenkenberger:</t>
        </r>
        <r>
          <rPr>
            <sz val="9"/>
            <color indexed="81"/>
            <rFont val="Tahoma"/>
            <charset val="1"/>
          </rPr>
          <t xml:space="preserve">
1 mg insect, 0.1% brain</t>
        </r>
      </text>
    </comment>
    <comment ref="C7" authorId="1">
      <text>
        <r>
          <rPr>
            <b/>
            <sz val="9"/>
            <color indexed="81"/>
            <rFont val="Tahoma"/>
            <family val="2"/>
          </rPr>
          <t>David Denkenberger:</t>
        </r>
        <r>
          <rPr>
            <sz val="9"/>
            <color indexed="81"/>
            <rFont val="Tahoma"/>
            <family val="2"/>
          </rPr>
          <t xml:space="preserve">
1.5 mn named, beetles 10-100 mn</t>
        </r>
      </text>
    </comment>
    <comment ref="F7" authorId="1">
      <text>
        <r>
          <rPr>
            <b/>
            <sz val="9"/>
            <color indexed="81"/>
            <rFont val="Tahoma"/>
            <family val="2"/>
          </rPr>
          <t>David Denkenberger:</t>
        </r>
        <r>
          <rPr>
            <sz val="9"/>
            <color indexed="81"/>
            <rFont val="Tahoma"/>
            <family val="2"/>
          </rPr>
          <t xml:space="preserve">
If constant probability or damage over time</t>
        </r>
      </text>
    </comment>
    <comment ref="L7" authorId="0">
      <text>
        <r>
          <rPr>
            <b/>
            <sz val="9"/>
            <color indexed="81"/>
            <rFont val="Tahoma"/>
            <charset val="1"/>
          </rPr>
          <t>ddenkenberger:</t>
        </r>
        <r>
          <rPr>
            <sz val="9"/>
            <color indexed="81"/>
            <rFont val="Tahoma"/>
            <charset val="1"/>
          </rPr>
          <t xml:space="preserve">
Not sure.</t>
        </r>
      </text>
    </comment>
    <comment ref="AB7" authorId="0">
      <text>
        <r>
          <rPr>
            <b/>
            <sz val="9"/>
            <color indexed="81"/>
            <rFont val="Tahoma"/>
            <family val="2"/>
          </rPr>
          <t>ddenkenberger:</t>
        </r>
        <r>
          <rPr>
            <sz val="9"/>
            <color indexed="81"/>
            <rFont val="Tahoma"/>
            <family val="2"/>
          </rPr>
          <t xml:space="preserve">
Likely that other galaxies will be colonized by other civilizations</t>
        </r>
      </text>
    </comment>
    <comment ref="A8" authorId="0">
      <text>
        <r>
          <rPr>
            <b/>
            <sz val="9"/>
            <color indexed="81"/>
            <rFont val="Tahoma"/>
            <family val="2"/>
          </rPr>
          <t>ddenkenberger:</t>
        </r>
        <r>
          <rPr>
            <sz val="9"/>
            <color indexed="81"/>
            <rFont val="Tahoma"/>
            <family val="2"/>
          </rPr>
          <t xml:space="preserve">
It is possible that we would not recover our technological civilization (Bostrom's "crunch") but the expected value of future civilization is still very high: computer consciousnesses, Dyson sphere, expanding to galaxy, or no discounting</t>
        </r>
      </text>
    </comment>
    <comment ref="H8" authorId="0">
      <text>
        <r>
          <rPr>
            <b/>
            <sz val="9"/>
            <color indexed="81"/>
            <rFont val="Tahoma"/>
            <family val="2"/>
          </rPr>
          <t>ddenkenberger:</t>
        </r>
        <r>
          <rPr>
            <sz val="9"/>
            <color indexed="81"/>
            <rFont val="Tahoma"/>
            <family val="2"/>
          </rPr>
          <t xml:space="preserve">
1 means little effort is very cost effective, 0.5 less so</t>
        </r>
      </text>
    </comment>
    <comment ref="L8" authorId="0">
      <text>
        <r>
          <rPr>
            <b/>
            <sz val="9"/>
            <color indexed="81"/>
            <rFont val="Tahoma"/>
            <charset val="1"/>
          </rPr>
          <t>ddenkenberger:</t>
        </r>
        <r>
          <rPr>
            <sz val="9"/>
            <color indexed="81"/>
            <rFont val="Tahoma"/>
            <charset val="1"/>
          </rPr>
          <t xml:space="preserve">
Not sure.</t>
        </r>
      </text>
    </comment>
    <comment ref="X8" authorId="0">
      <text>
        <r>
          <rPr>
            <b/>
            <sz val="9"/>
            <color indexed="81"/>
            <rFont val="Tahoma"/>
            <family val="2"/>
          </rPr>
          <t>ddenkenberger:</t>
        </r>
        <r>
          <rPr>
            <sz val="9"/>
            <color indexed="81"/>
            <rFont val="Tahoma"/>
            <family val="2"/>
          </rPr>
          <t xml:space="preserve">
Kurzweil says that in 2030, a personal computer (order 100 W) could be functionally equivalent to a human brain. Since the capability of computers have been doubling every 1.5 years, but the energy use has not been increasing very much, this means the energy efficiency has been doubling every 1.5 years. Kurzweil talks about reversible computing in his book "the singularity is near," where no energy is required for computing. I am skeptical of this, especially because I learned that the theoretical limit for flipping a bit is the Boltzmann constant times the temperature, or ~5E-21 joules. So if we take this limit, computers can become approximately 11 orders more efficient than they are now. This means we could support approximately 1E35 consciousnesses with the Dyson sphere vs 1E19 humans.</t>
        </r>
      </text>
    </comment>
    <comment ref="F10" authorId="0">
      <text>
        <r>
          <rPr>
            <b/>
            <sz val="9"/>
            <color indexed="81"/>
            <rFont val="Tahoma"/>
            <family val="2"/>
          </rPr>
          <t>ddenkenberger:</t>
        </r>
        <r>
          <rPr>
            <sz val="9"/>
            <color indexed="81"/>
            <rFont val="Tahoma"/>
            <family val="2"/>
          </rPr>
          <t xml:space="preserve">
Bold are numbers I have direct estimates for; others are expected damage scaled inversely with current effort</t>
        </r>
      </text>
    </comment>
    <comment ref="N10" authorId="0">
      <text>
        <r>
          <rPr>
            <b/>
            <sz val="9"/>
            <color indexed="81"/>
            <rFont val="Tahoma"/>
            <family val="2"/>
          </rPr>
          <t>ddenkenberger:</t>
        </r>
        <r>
          <rPr>
            <sz val="9"/>
            <color indexed="81"/>
            <rFont val="Tahoma"/>
            <family val="2"/>
          </rPr>
          <t xml:space="preserve">
Bold are numbers I have direct estimates for; others are expected damage scaled inversely with current effort</t>
        </r>
      </text>
    </comment>
    <comment ref="Y10" authorId="0">
      <text>
        <r>
          <rPr>
            <b/>
            <sz val="9"/>
            <color indexed="81"/>
            <rFont val="Tahoma"/>
            <family val="2"/>
          </rPr>
          <t>ddenkenberger:</t>
        </r>
        <r>
          <rPr>
            <sz val="9"/>
            <color indexed="81"/>
            <rFont val="Tahoma"/>
            <family val="2"/>
          </rPr>
          <t xml:space="preserve">
Bold are numbers I have direct estimates for; others are expected damage scaled inversely with current effort</t>
        </r>
      </text>
    </comment>
    <comment ref="AF10" authorId="0">
      <text>
        <r>
          <rPr>
            <b/>
            <sz val="9"/>
            <color indexed="81"/>
            <rFont val="Tahoma"/>
            <family val="2"/>
          </rPr>
          <t>ddenkenberger:</t>
        </r>
        <r>
          <rPr>
            <sz val="9"/>
            <color indexed="81"/>
            <rFont val="Tahoma"/>
            <family val="2"/>
          </rPr>
          <t xml:space="preserve">
Bold are numbers I have direct estimates for; others are expected damage scaled inversely with current effort</t>
        </r>
      </text>
    </comment>
    <comment ref="B11" authorId="1">
      <text>
        <r>
          <rPr>
            <b/>
            <sz val="9"/>
            <color indexed="81"/>
            <rFont val="Tahoma"/>
            <family val="2"/>
          </rPr>
          <t>David Denkenberger:</t>
        </r>
        <r>
          <rPr>
            <sz val="9"/>
            <color indexed="81"/>
            <rFont val="Tahoma"/>
            <family val="2"/>
          </rPr>
          <t xml:space="preserve">
5% discount would make not much larger than destroying the earth, but once the earth is destroyed, I don't think a 5% discount makes sense. A googol is just a WAG (wild ass guess).</t>
        </r>
      </text>
    </comment>
    <comment ref="C11" authorId="1">
      <text>
        <r>
          <rPr>
            <b/>
            <sz val="9"/>
            <color indexed="81"/>
            <rFont val="Tahoma"/>
            <family val="2"/>
          </rPr>
          <t>David Denkenberger:</t>
        </r>
        <r>
          <rPr>
            <sz val="9"/>
            <color indexed="81"/>
            <rFont val="Tahoma"/>
            <family val="2"/>
          </rPr>
          <t xml:space="preserve">
1/50,000,000 for a single 10 yr experiment</t>
        </r>
      </text>
    </comment>
    <comment ref="J11" authorId="0">
      <text>
        <r>
          <rPr>
            <b/>
            <sz val="9"/>
            <color indexed="81"/>
            <rFont val="Tahoma"/>
            <charset val="1"/>
          </rPr>
          <t>ddenkenberger:</t>
        </r>
        <r>
          <rPr>
            <sz val="9"/>
            <color indexed="81"/>
            <rFont val="Tahoma"/>
            <charset val="1"/>
          </rPr>
          <t xml:space="preserve">
Assuming that life is different on other planets.</t>
        </r>
      </text>
    </comment>
    <comment ref="K11" authorId="0">
      <text>
        <r>
          <rPr>
            <b/>
            <sz val="9"/>
            <color indexed="81"/>
            <rFont val="Tahoma"/>
            <family val="2"/>
          </rPr>
          <t>ddenkenberger:</t>
        </r>
        <r>
          <rPr>
            <sz val="9"/>
            <color indexed="81"/>
            <rFont val="Tahoma"/>
            <family val="2"/>
          </rPr>
          <t xml:space="preserve">
We will eventually be able to evaluate the probability better, and if high risk, stop doing it, so 50 yr horizon fine</t>
        </r>
      </text>
    </comment>
    <comment ref="U11" authorId="0">
      <text>
        <r>
          <rPr>
            <b/>
            <sz val="9"/>
            <color indexed="81"/>
            <rFont val="Tahoma"/>
            <charset val="1"/>
          </rPr>
          <t>ddenkenberger:</t>
        </r>
        <r>
          <rPr>
            <sz val="9"/>
            <color indexed="81"/>
            <rFont val="Tahoma"/>
            <charset val="1"/>
          </rPr>
          <t xml:space="preserve">
Assuming earth-like suffering (10% of life years) on many planets: prevented or destroyed</t>
        </r>
      </text>
    </comment>
    <comment ref="X11" authorId="0">
      <text>
        <r>
          <rPr>
            <b/>
            <sz val="9"/>
            <color indexed="81"/>
            <rFont val="Tahoma"/>
            <family val="2"/>
          </rPr>
          <t>ddenkenberger:</t>
        </r>
        <r>
          <rPr>
            <sz val="9"/>
            <color indexed="81"/>
            <rFont val="Tahoma"/>
            <family val="2"/>
          </rPr>
          <t xml:space="preserve">
To build the accelerator</t>
        </r>
      </text>
    </comment>
    <comment ref="AB11" authorId="0">
      <text>
        <r>
          <rPr>
            <b/>
            <sz val="9"/>
            <color indexed="81"/>
            <rFont val="Tahoma"/>
            <family val="2"/>
          </rPr>
          <t>ddenkenberger:</t>
        </r>
        <r>
          <rPr>
            <sz val="9"/>
            <color indexed="81"/>
            <rFont val="Tahoma"/>
            <family val="2"/>
          </rPr>
          <t xml:space="preserve">
Assuming earth-like welfare (90% of life years) on many planets: prevented or destroyed</t>
        </r>
      </text>
    </comment>
    <comment ref="A12" authorId="0">
      <text>
        <r>
          <rPr>
            <b/>
            <sz val="9"/>
            <color indexed="81"/>
            <rFont val="Tahoma"/>
            <family val="2"/>
          </rPr>
          <t>ddenkenberger:</t>
        </r>
        <r>
          <rPr>
            <sz val="9"/>
            <color indexed="81"/>
            <rFont val="Tahoma"/>
            <family val="2"/>
          </rPr>
          <t xml:space="preserve">
Destroys people and species, many equivalent organisms, at least some suffering per organism</t>
        </r>
      </text>
    </comment>
    <comment ref="B12" authorId="1">
      <text>
        <r>
          <rPr>
            <b/>
            <sz val="9"/>
            <color indexed="81"/>
            <rFont val="Tahoma"/>
            <family val="2"/>
          </rPr>
          <t>David Denkenberger:</t>
        </r>
        <r>
          <rPr>
            <sz val="9"/>
            <color indexed="81"/>
            <rFont val="Tahoma"/>
            <family val="2"/>
          </rPr>
          <t xml:space="preserve">
Super-intelligence remakes the world to its will - destroys humans and life, except maybe in ocean or only hydrothermal vents and below ground; could destroy other planets, increasing the impact, but I don't include this; if negative singularity, then could have been positive, so impact is divided by the singularity chance</t>
        </r>
      </text>
    </comment>
    <comment ref="J12" authorId="0">
      <text>
        <r>
          <rPr>
            <b/>
            <sz val="9"/>
            <color indexed="81"/>
            <rFont val="Tahoma"/>
            <family val="2"/>
          </rPr>
          <t>ddenkenberger:</t>
        </r>
        <r>
          <rPr>
            <sz val="9"/>
            <color indexed="81"/>
            <rFont val="Tahoma"/>
            <family val="2"/>
          </rPr>
          <t xml:space="preserve">
Assuming life underground and hydrothermal vents survive</t>
        </r>
      </text>
    </comment>
    <comment ref="K12" authorId="0">
      <text>
        <r>
          <rPr>
            <b/>
            <sz val="9"/>
            <color indexed="81"/>
            <rFont val="Tahoma"/>
            <family val="2"/>
          </rPr>
          <t>ddenkenberger:</t>
        </r>
        <r>
          <rPr>
            <sz val="9"/>
            <color indexed="81"/>
            <rFont val="Tahoma"/>
            <family val="2"/>
          </rPr>
          <t xml:space="preserve">
Should get an immune system after 50 yr</t>
        </r>
      </text>
    </comment>
    <comment ref="U12" authorId="0">
      <text>
        <r>
          <rPr>
            <b/>
            <sz val="9"/>
            <color indexed="81"/>
            <rFont val="Tahoma"/>
            <family val="2"/>
          </rPr>
          <t>ddenkenberger:</t>
        </r>
        <r>
          <rPr>
            <sz val="9"/>
            <color indexed="81"/>
            <rFont val="Tahoma"/>
            <family val="2"/>
          </rPr>
          <t xml:space="preserve">
10% suffering, 50 year time horizon</t>
        </r>
      </text>
    </comment>
    <comment ref="AB12" authorId="0">
      <text>
        <r>
          <rPr>
            <b/>
            <sz val="9"/>
            <color indexed="81"/>
            <rFont val="Tahoma"/>
            <family val="2"/>
          </rPr>
          <t>ddenkenberger:</t>
        </r>
        <r>
          <rPr>
            <sz val="9"/>
            <color indexed="81"/>
            <rFont val="Tahoma"/>
            <family val="2"/>
          </rPr>
          <t xml:space="preserve">
Assuming the many organisms are not enslaved.</t>
        </r>
      </text>
    </comment>
    <comment ref="A13" authorId="0">
      <text>
        <r>
          <rPr>
            <b/>
            <sz val="9"/>
            <color indexed="81"/>
            <rFont val="Tahoma"/>
            <family val="2"/>
          </rPr>
          <t>ddenkenberger:</t>
        </r>
        <r>
          <rPr>
            <sz val="9"/>
            <color indexed="81"/>
            <rFont val="Tahoma"/>
            <family val="2"/>
          </rPr>
          <t xml:space="preserve">
Preserves people and species, many organisms, eliminates suffering</t>
        </r>
      </text>
    </comment>
    <comment ref="B13" authorId="0">
      <text>
        <r>
          <rPr>
            <b/>
            <sz val="9"/>
            <color indexed="81"/>
            <rFont val="Tahoma"/>
            <family val="2"/>
          </rPr>
          <t>ddenkenberger:</t>
        </r>
        <r>
          <rPr>
            <sz val="9"/>
            <color indexed="81"/>
            <rFont val="Tahoma"/>
            <family val="2"/>
          </rPr>
          <t xml:space="preserve">
Go computer consciousnesses and chance of Dyson sphere this century</t>
        </r>
      </text>
    </comment>
    <comment ref="J13" authorId="0">
      <text>
        <r>
          <rPr>
            <b/>
            <sz val="9"/>
            <color indexed="81"/>
            <rFont val="Tahoma"/>
            <family val="2"/>
          </rPr>
          <t>ddenkenberger:</t>
        </r>
        <r>
          <rPr>
            <sz val="9"/>
            <color indexed="81"/>
            <rFont val="Tahoma"/>
            <family val="2"/>
          </rPr>
          <t xml:space="preserve">
Creating 100 new types of life (we have already designed ~10), though extreme environmentalists might not recognize the new life forms</t>
        </r>
      </text>
    </comment>
    <comment ref="U13" authorId="0">
      <text>
        <r>
          <rPr>
            <b/>
            <sz val="9"/>
            <color indexed="81"/>
            <rFont val="Tahoma"/>
            <family val="2"/>
          </rPr>
          <t>ddenkenberger:</t>
        </r>
        <r>
          <rPr>
            <sz val="9"/>
            <color indexed="81"/>
            <rFont val="Tahoma"/>
            <family val="2"/>
          </rPr>
          <t xml:space="preserve">
10% suffering, 50 yr time horizon</t>
        </r>
      </text>
    </comment>
    <comment ref="AB13" authorId="0">
      <text>
        <r>
          <rPr>
            <b/>
            <sz val="9"/>
            <color indexed="81"/>
            <rFont val="Tahoma"/>
            <family val="2"/>
          </rPr>
          <t>ddenkenberger:</t>
        </r>
        <r>
          <rPr>
            <sz val="9"/>
            <color indexed="81"/>
            <rFont val="Tahoma"/>
            <family val="2"/>
          </rPr>
          <t xml:space="preserve">
Ecstatic organisms, 50 yr time horizon.</t>
        </r>
      </text>
    </comment>
    <comment ref="B14" authorId="1">
      <text>
        <r>
          <rPr>
            <b/>
            <sz val="9"/>
            <color indexed="81"/>
            <rFont val="Tahoma"/>
            <family val="2"/>
          </rPr>
          <t>David Denkenberger:</t>
        </r>
        <r>
          <rPr>
            <sz val="9"/>
            <color indexed="81"/>
            <rFont val="Tahoma"/>
            <family val="2"/>
          </rPr>
          <t xml:space="preserve">
E.g. eats all plants, all animals die, except maybe in ocean or only hydrothermal vents and below ground</t>
        </r>
      </text>
    </comment>
    <comment ref="J14" authorId="0">
      <text>
        <r>
          <rPr>
            <b/>
            <sz val="9"/>
            <color indexed="81"/>
            <rFont val="Tahoma"/>
            <family val="2"/>
          </rPr>
          <t>ddenkenberger:</t>
        </r>
        <r>
          <rPr>
            <sz val="9"/>
            <color indexed="81"/>
            <rFont val="Tahoma"/>
            <family val="2"/>
          </rPr>
          <t xml:space="preserve">
Assuming life underground and hydrothermal vents survive</t>
        </r>
      </text>
    </comment>
    <comment ref="K14" authorId="0">
      <text>
        <r>
          <rPr>
            <b/>
            <sz val="9"/>
            <color indexed="81"/>
            <rFont val="Tahoma"/>
            <family val="2"/>
          </rPr>
          <t>ddenkenberger:</t>
        </r>
        <r>
          <rPr>
            <sz val="9"/>
            <color indexed="81"/>
            <rFont val="Tahoma"/>
            <family val="2"/>
          </rPr>
          <t xml:space="preserve">
Should get an immune system after 50 yr</t>
        </r>
      </text>
    </comment>
    <comment ref="U14" authorId="0">
      <text>
        <r>
          <rPr>
            <b/>
            <sz val="9"/>
            <color indexed="81"/>
            <rFont val="Tahoma"/>
            <charset val="1"/>
          </rPr>
          <t>ddenkenberger:</t>
        </r>
        <r>
          <rPr>
            <sz val="9"/>
            <color indexed="81"/>
            <rFont val="Tahoma"/>
            <charset val="1"/>
          </rPr>
          <t xml:space="preserve">
Little suffering during takeover if it eats all life or animals; some suffering if it eats just plants, but small compared to expected transhuman lives (assume 1% suffering: positive outcome otherwise)</t>
        </r>
      </text>
    </comment>
    <comment ref="A16" authorId="1">
      <text>
        <r>
          <rPr>
            <b/>
            <sz val="9"/>
            <color indexed="81"/>
            <rFont val="Tahoma"/>
            <family val="2"/>
          </rPr>
          <t>David Denkenberger:</t>
        </r>
        <r>
          <rPr>
            <sz val="9"/>
            <color indexed="81"/>
            <rFont val="Tahoma"/>
            <family val="2"/>
          </rPr>
          <t xml:space="preserve">
Detonation of all nuclear weapons would probably not cause nuclear winter (blocking sun &gt;1 yr and mass extinction): Rees, Martin, Our Final Hour, Basic Books, New York, 2003.</t>
        </r>
      </text>
    </comment>
    <comment ref="J16" authorId="0">
      <text>
        <r>
          <rPr>
            <b/>
            <sz val="9"/>
            <color indexed="81"/>
            <rFont val="Tahoma"/>
            <family val="2"/>
          </rPr>
          <t>ddenkenberger:</t>
        </r>
        <r>
          <rPr>
            <sz val="9"/>
            <color indexed="81"/>
            <rFont val="Tahoma"/>
            <family val="2"/>
          </rPr>
          <t xml:space="preserve">
10% of large species lost (insects fine)</t>
        </r>
      </text>
    </comment>
    <comment ref="K16" authorId="0">
      <text>
        <r>
          <rPr>
            <b/>
            <sz val="9"/>
            <color indexed="81"/>
            <rFont val="Tahoma"/>
            <family val="2"/>
          </rPr>
          <t>ddenkenberger:</t>
        </r>
        <r>
          <rPr>
            <sz val="9"/>
            <color indexed="81"/>
            <rFont val="Tahoma"/>
            <family val="2"/>
          </rPr>
          <t xml:space="preserve">
Should get an immune system after 50 yr</t>
        </r>
      </text>
    </comment>
    <comment ref="C17" authorId="1">
      <text>
        <r>
          <rPr>
            <b/>
            <sz val="9"/>
            <color indexed="81"/>
            <rFont val="Tahoma"/>
            <family val="2"/>
          </rPr>
          <t>David Denkenberger:</t>
        </r>
        <r>
          <rPr>
            <sz val="9"/>
            <color indexed="81"/>
            <rFont val="Tahoma"/>
            <family val="2"/>
          </rPr>
          <t xml:space="preserve">
Hasn't happened yet, black plague was only 1/3 kill</t>
        </r>
      </text>
    </comment>
    <comment ref="C18" authorId="1">
      <text>
        <r>
          <rPr>
            <b/>
            <sz val="9"/>
            <color indexed="81"/>
            <rFont val="Tahoma"/>
            <family val="2"/>
          </rPr>
          <t>David Denkenberger:</t>
        </r>
        <r>
          <rPr>
            <sz val="9"/>
            <color indexed="81"/>
            <rFont val="Tahoma"/>
            <family val="2"/>
          </rPr>
          <t xml:space="preserve">
We would probably contain it so it wouldn't reach 90% kill</t>
        </r>
      </text>
    </comment>
    <comment ref="C19" authorId="0">
      <text>
        <r>
          <rPr>
            <b/>
            <sz val="9"/>
            <color indexed="81"/>
            <rFont val="Tahoma"/>
            <family val="2"/>
          </rPr>
          <t>ddenkenberger:</t>
        </r>
        <r>
          <rPr>
            <sz val="9"/>
            <color indexed="81"/>
            <rFont val="Tahoma"/>
            <family val="2"/>
          </rPr>
          <t xml:space="preserve">
Happens every ~500 yr</t>
        </r>
      </text>
    </comment>
    <comment ref="C21" authorId="1">
      <text>
        <r>
          <rPr>
            <b/>
            <sz val="9"/>
            <color indexed="81"/>
            <rFont val="Tahoma"/>
            <family val="2"/>
          </rPr>
          <t>David Denkenberger:</t>
        </r>
        <r>
          <rPr>
            <sz val="9"/>
            <color indexed="81"/>
            <rFont val="Tahoma"/>
            <family val="2"/>
          </rPr>
          <t xml:space="preserve">
1/50,000,000 for a single 10 yr experiment</t>
        </r>
      </text>
    </comment>
    <comment ref="U21" authorId="0">
      <text>
        <r>
          <rPr>
            <b/>
            <sz val="9"/>
            <color indexed="81"/>
            <rFont val="Tahoma"/>
            <family val="2"/>
          </rPr>
          <t>ddenkenberger:</t>
        </r>
        <r>
          <rPr>
            <sz val="9"/>
            <color indexed="81"/>
            <rFont val="Tahoma"/>
            <family val="2"/>
          </rPr>
          <t xml:space="preserve">
Assume 1% suffering: positive outcome otherwise</t>
        </r>
      </text>
    </comment>
    <comment ref="C22" authorId="1">
      <text>
        <r>
          <rPr>
            <b/>
            <sz val="9"/>
            <color indexed="81"/>
            <rFont val="Tahoma"/>
            <family val="2"/>
          </rPr>
          <t>David Denkenberger:</t>
        </r>
        <r>
          <rPr>
            <sz val="9"/>
            <color indexed="81"/>
            <rFont val="Tahoma"/>
            <family val="2"/>
          </rPr>
          <t xml:space="preserve">
1/50,000,000 for a single 10 yr experiment</t>
        </r>
      </text>
    </comment>
    <comment ref="U22" authorId="0">
      <text>
        <r>
          <rPr>
            <b/>
            <sz val="9"/>
            <color indexed="81"/>
            <rFont val="Tahoma"/>
            <family val="2"/>
          </rPr>
          <t>ddenkenberger:</t>
        </r>
        <r>
          <rPr>
            <sz val="9"/>
            <color indexed="81"/>
            <rFont val="Tahoma"/>
            <family val="2"/>
          </rPr>
          <t xml:space="preserve">
Assume 1% suffering: positive outcome otherwise</t>
        </r>
      </text>
    </comment>
    <comment ref="B23" authorId="0">
      <text>
        <r>
          <rPr>
            <b/>
            <sz val="9"/>
            <color indexed="81"/>
            <rFont val="Tahoma"/>
            <family val="2"/>
          </rPr>
          <t>ddenkenberger:</t>
        </r>
        <r>
          <rPr>
            <sz val="9"/>
            <color indexed="81"/>
            <rFont val="Tahoma"/>
            <family val="2"/>
          </rPr>
          <t xml:space="preserve">
50% reduction in expected damage of the physics disasters</t>
        </r>
      </text>
    </comment>
    <comment ref="E23" authorId="0">
      <text>
        <r>
          <rPr>
            <b/>
            <sz val="9"/>
            <color indexed="81"/>
            <rFont val="Tahoma"/>
            <family val="2"/>
          </rPr>
          <t>ddenkenberger:</t>
        </r>
        <r>
          <rPr>
            <sz val="9"/>
            <color indexed="81"/>
            <rFont val="Tahoma"/>
            <family val="2"/>
          </rPr>
          <t xml:space="preserve">
Discounted cost</t>
        </r>
      </text>
    </comment>
    <comment ref="J23" authorId="0">
      <text>
        <r>
          <rPr>
            <b/>
            <sz val="9"/>
            <color indexed="81"/>
            <rFont val="Tahoma"/>
            <family val="2"/>
          </rPr>
          <t>ddenkenberger:</t>
        </r>
        <r>
          <rPr>
            <sz val="9"/>
            <color indexed="81"/>
            <rFont val="Tahoma"/>
            <family val="2"/>
          </rPr>
          <t xml:space="preserve">
50% reduction in expected damage of the physics disasters</t>
        </r>
      </text>
    </comment>
    <comment ref="M23" authorId="0">
      <text>
        <r>
          <rPr>
            <b/>
            <sz val="9"/>
            <color indexed="81"/>
            <rFont val="Tahoma"/>
            <family val="2"/>
          </rPr>
          <t>ddenkenberger:</t>
        </r>
        <r>
          <rPr>
            <sz val="9"/>
            <color indexed="81"/>
            <rFont val="Tahoma"/>
            <family val="2"/>
          </rPr>
          <t xml:space="preserve">
Discounted cost</t>
        </r>
      </text>
    </comment>
    <comment ref="U23" authorId="0">
      <text>
        <r>
          <rPr>
            <b/>
            <sz val="9"/>
            <color indexed="81"/>
            <rFont val="Tahoma"/>
            <family val="2"/>
          </rPr>
          <t>ddenkenberger:</t>
        </r>
        <r>
          <rPr>
            <sz val="9"/>
            <color indexed="81"/>
            <rFont val="Tahoma"/>
            <family val="2"/>
          </rPr>
          <t xml:space="preserve">
50% reduction in expected damage of the physics disasters</t>
        </r>
      </text>
    </comment>
    <comment ref="X23" authorId="0">
      <text>
        <r>
          <rPr>
            <b/>
            <sz val="9"/>
            <color indexed="81"/>
            <rFont val="Tahoma"/>
            <family val="2"/>
          </rPr>
          <t>ddenkenberger:</t>
        </r>
        <r>
          <rPr>
            <sz val="9"/>
            <color indexed="81"/>
            <rFont val="Tahoma"/>
            <family val="2"/>
          </rPr>
          <t xml:space="preserve">
Discounted cost</t>
        </r>
      </text>
    </comment>
    <comment ref="AB23" authorId="0">
      <text>
        <r>
          <rPr>
            <b/>
            <sz val="9"/>
            <color indexed="81"/>
            <rFont val="Tahoma"/>
            <family val="2"/>
          </rPr>
          <t>ddenkenberger:</t>
        </r>
        <r>
          <rPr>
            <sz val="9"/>
            <color indexed="81"/>
            <rFont val="Tahoma"/>
            <family val="2"/>
          </rPr>
          <t xml:space="preserve">
50% reduction in expected damage of the physics disasters</t>
        </r>
      </text>
    </comment>
    <comment ref="AE23" authorId="0">
      <text>
        <r>
          <rPr>
            <b/>
            <sz val="9"/>
            <color indexed="81"/>
            <rFont val="Tahoma"/>
            <family val="2"/>
          </rPr>
          <t>ddenkenberger:</t>
        </r>
        <r>
          <rPr>
            <sz val="9"/>
            <color indexed="81"/>
            <rFont val="Tahoma"/>
            <family val="2"/>
          </rPr>
          <t xml:space="preserve">
Discounted cost</t>
        </r>
      </text>
    </comment>
    <comment ref="B24" authorId="0">
      <text>
        <r>
          <rPr>
            <b/>
            <sz val="9"/>
            <color indexed="81"/>
            <rFont val="Tahoma"/>
            <family val="2"/>
          </rPr>
          <t>ddenkenberger:</t>
        </r>
        <r>
          <rPr>
            <sz val="9"/>
            <color indexed="81"/>
            <rFont val="Tahoma"/>
            <family val="2"/>
          </rPr>
          <t xml:space="preserve">
Economic loss of current civilization, but not loss of potential for 1E35 consciousnesses because the aliens probably have already done that</t>
        </r>
      </text>
    </comment>
    <comment ref="C24" authorId="1">
      <text>
        <r>
          <rPr>
            <b/>
            <sz val="9"/>
            <color indexed="81"/>
            <rFont val="Tahoma"/>
            <family val="2"/>
          </rPr>
          <t>David Denkenberger:</t>
        </r>
        <r>
          <rPr>
            <sz val="9"/>
            <color indexed="81"/>
            <rFont val="Tahoma"/>
            <family val="2"/>
          </rPr>
          <t xml:space="preserve">
Hasn't happened in the last billion years…and we are not more desirable now than then for energy or minerals, but possibly to enslave</t>
        </r>
      </text>
    </comment>
    <comment ref="F24" authorId="0">
      <text>
        <r>
          <rPr>
            <b/>
            <sz val="9"/>
            <color indexed="81"/>
            <rFont val="Tahoma"/>
            <family val="2"/>
          </rPr>
          <t>ddenkenberger:</t>
        </r>
        <r>
          <rPr>
            <sz val="9"/>
            <color indexed="81"/>
            <rFont val="Tahoma"/>
            <family val="2"/>
          </rPr>
          <t xml:space="preserve">
Not clear we can do anything about it</t>
        </r>
      </text>
    </comment>
    <comment ref="U24" authorId="0">
      <text>
        <r>
          <rPr>
            <b/>
            <sz val="9"/>
            <color indexed="81"/>
            <rFont val="Tahoma"/>
            <family val="2"/>
          </rPr>
          <t>ddenkenberger:</t>
        </r>
        <r>
          <rPr>
            <sz val="9"/>
            <color indexed="81"/>
            <rFont val="Tahoma"/>
            <family val="2"/>
          </rPr>
          <t xml:space="preserve">
These violent aliens would probably have as much suffering in their own civilization.</t>
        </r>
      </text>
    </comment>
    <comment ref="AB24" authorId="0">
      <text>
        <r>
          <rPr>
            <b/>
            <sz val="9"/>
            <color indexed="81"/>
            <rFont val="Tahoma"/>
            <family val="2"/>
          </rPr>
          <t>ddenkenberger:</t>
        </r>
        <r>
          <rPr>
            <sz val="9"/>
            <color indexed="81"/>
            <rFont val="Tahoma"/>
            <family val="2"/>
          </rPr>
          <t xml:space="preserve">
These violent aliens would probably have as much utility in their own civilization.</t>
        </r>
      </text>
    </comment>
    <comment ref="B25" authorId="0">
      <text>
        <r>
          <rPr>
            <b/>
            <sz val="9"/>
            <color indexed="81"/>
            <rFont val="Tahoma"/>
            <family val="2"/>
          </rPr>
          <t>ddenkenberger:</t>
        </r>
        <r>
          <rPr>
            <sz val="9"/>
            <color indexed="81"/>
            <rFont val="Tahoma"/>
            <family val="2"/>
          </rPr>
          <t xml:space="preserve">
Assuming simulation is deleted; economic loss of current civilization, but not loss of potential for 1E35 consciousnesses because the simulator civilization probably has already done that</t>
        </r>
      </text>
    </comment>
    <comment ref="C25" authorId="1">
      <text>
        <r>
          <rPr>
            <b/>
            <sz val="9"/>
            <color indexed="81"/>
            <rFont val="Tahoma"/>
            <family val="2"/>
          </rPr>
          <t>David Denkenberger:</t>
        </r>
        <r>
          <rPr>
            <sz val="9"/>
            <color indexed="81"/>
            <rFont val="Tahoma"/>
            <family val="2"/>
          </rPr>
          <t xml:space="preserve">
WAG (wild ass guess), but 1% that we are in a simulation, and 1 in a million each year that it is turned off</t>
        </r>
      </text>
    </comment>
    <comment ref="F25" authorId="0">
      <text>
        <r>
          <rPr>
            <b/>
            <sz val="9"/>
            <color indexed="81"/>
            <rFont val="Tahoma"/>
            <family val="2"/>
          </rPr>
          <t>ddenkenberger:</t>
        </r>
        <r>
          <rPr>
            <sz val="9"/>
            <color indexed="81"/>
            <rFont val="Tahoma"/>
            <family val="2"/>
          </rPr>
          <t xml:space="preserve">
Not clear we can do anything about it</t>
        </r>
      </text>
    </comment>
    <comment ref="J25" authorId="0">
      <text>
        <r>
          <rPr>
            <b/>
            <sz val="9"/>
            <color indexed="81"/>
            <rFont val="Tahoma"/>
            <family val="2"/>
          </rPr>
          <t>ddenkenberger:</t>
        </r>
        <r>
          <rPr>
            <sz val="9"/>
            <color indexed="81"/>
            <rFont val="Tahoma"/>
            <family val="2"/>
          </rPr>
          <t xml:space="preserve">
Assuming they delete the info</t>
        </r>
      </text>
    </comment>
    <comment ref="N25" authorId="0">
      <text>
        <r>
          <rPr>
            <b/>
            <sz val="9"/>
            <color indexed="81"/>
            <rFont val="Tahoma"/>
            <charset val="1"/>
          </rPr>
          <t>ddenkenberger:</t>
        </r>
        <r>
          <rPr>
            <sz val="9"/>
            <color indexed="81"/>
            <rFont val="Tahoma"/>
            <charset val="1"/>
          </rPr>
          <t xml:space="preserve">
If they don't delete the information, then we would be preserving the biodiversity.</t>
        </r>
      </text>
    </comment>
    <comment ref="U25" authorId="0">
      <text>
        <r>
          <rPr>
            <b/>
            <sz val="9"/>
            <color indexed="81"/>
            <rFont val="Tahoma"/>
            <family val="2"/>
          </rPr>
          <t>ddenkenberger:</t>
        </r>
        <r>
          <rPr>
            <sz val="9"/>
            <color indexed="81"/>
            <rFont val="Tahoma"/>
            <family val="2"/>
          </rPr>
          <t xml:space="preserve">
Assume 1% suffering: positive outcome otherwise</t>
        </r>
      </text>
    </comment>
    <comment ref="C26" authorId="1">
      <text>
        <r>
          <rPr>
            <b/>
            <sz val="9"/>
            <color indexed="81"/>
            <rFont val="Tahoma"/>
            <family val="2"/>
          </rPr>
          <t>David Denkenberger:</t>
        </r>
        <r>
          <rPr>
            <sz val="9"/>
            <color indexed="81"/>
            <rFont val="Tahoma"/>
            <family val="2"/>
          </rPr>
          <t xml:space="preserve">
This is consistent with a discounted damage of $5 tn today</t>
        </r>
      </text>
    </comment>
    <comment ref="F26" authorId="1">
      <text>
        <r>
          <rPr>
            <b/>
            <sz val="9"/>
            <color indexed="81"/>
            <rFont val="Tahoma"/>
            <family val="2"/>
          </rPr>
          <t>David Denkenberger:</t>
        </r>
        <r>
          <rPr>
            <sz val="9"/>
            <color indexed="81"/>
            <rFont val="Tahoma"/>
            <family val="2"/>
          </rPr>
          <t xml:space="preserve">
$100/tC is benefit/cost ~1, and $100 bn/yr effort; basis for other disaster calculations</t>
        </r>
      </text>
    </comment>
    <comment ref="J26" authorId="0">
      <text>
        <r>
          <rPr>
            <b/>
            <sz val="9"/>
            <color indexed="81"/>
            <rFont val="Tahoma"/>
            <family val="2"/>
          </rPr>
          <t>ddenkenberger:</t>
        </r>
        <r>
          <rPr>
            <sz val="9"/>
            <color indexed="81"/>
            <rFont val="Tahoma"/>
            <family val="2"/>
          </rPr>
          <t xml:space="preserve">
We would save charismatic, small species would adapt, but probably lose a lot of plants, amphibians, etc</t>
        </r>
      </text>
    </comment>
    <comment ref="C27" authorId="1">
      <text>
        <r>
          <rPr>
            <b/>
            <sz val="9"/>
            <color indexed="81"/>
            <rFont val="Tahoma"/>
            <family val="2"/>
          </rPr>
          <t>David Denkenberger:</t>
        </r>
        <r>
          <rPr>
            <sz val="9"/>
            <color indexed="81"/>
            <rFont val="Tahoma"/>
            <family val="2"/>
          </rPr>
          <t xml:space="preserve">
0.1% chance of happening ~100 yr from now (1% chance but 90% chance of doing geoengineering)</t>
        </r>
      </text>
    </comment>
    <comment ref="J27" authorId="0">
      <text>
        <r>
          <rPr>
            <b/>
            <sz val="9"/>
            <color indexed="81"/>
            <rFont val="Tahoma"/>
            <family val="2"/>
          </rPr>
          <t>ddenkenberger:</t>
        </r>
        <r>
          <rPr>
            <sz val="9"/>
            <color indexed="81"/>
            <rFont val="Tahoma"/>
            <family val="2"/>
          </rPr>
          <t xml:space="preserve">
We would save charismatic, small species would adapt, but probably lose a lot of plants, amphibians, etc</t>
        </r>
      </text>
    </comment>
    <comment ref="J28" authorId="0">
      <text>
        <r>
          <rPr>
            <b/>
            <sz val="9"/>
            <color indexed="81"/>
            <rFont val="Tahoma"/>
            <family val="2"/>
          </rPr>
          <t>ddenkenberger:</t>
        </r>
        <r>
          <rPr>
            <sz val="9"/>
            <color indexed="81"/>
            <rFont val="Tahoma"/>
            <family val="2"/>
          </rPr>
          <t xml:space="preserve">
We would save charismatic, small species would have a harder time adapting (but has happened before), but probably lose a lot of plants, amphibians, etc</t>
        </r>
      </text>
    </comment>
    <comment ref="A29" authorId="1">
      <text>
        <r>
          <rPr>
            <b/>
            <sz val="9"/>
            <color indexed="81"/>
            <rFont val="Tahoma"/>
            <family val="2"/>
          </rPr>
          <t>David Denkenberger:</t>
        </r>
        <r>
          <rPr>
            <sz val="9"/>
            <color indexed="81"/>
            <rFont val="Tahoma"/>
            <family val="2"/>
          </rPr>
          <t xml:space="preserve">
Sometimes known as geoengineering</t>
        </r>
      </text>
    </comment>
    <comment ref="E30" authorId="1">
      <text>
        <r>
          <rPr>
            <b/>
            <sz val="9"/>
            <color indexed="81"/>
            <rFont val="Tahoma"/>
            <family val="2"/>
          </rPr>
          <t>David Denkenberger:</t>
        </r>
        <r>
          <rPr>
            <sz val="9"/>
            <color indexed="81"/>
            <rFont val="Tahoma"/>
            <family val="2"/>
          </rPr>
          <t xml:space="preserve">
0.01% of GDP of DCs economies</t>
        </r>
      </text>
    </comment>
    <comment ref="F30" authorId="1">
      <text>
        <r>
          <rPr>
            <b/>
            <sz val="9"/>
            <color indexed="81"/>
            <rFont val="Tahoma"/>
            <family val="2"/>
          </rPr>
          <t>David Denkenberger:</t>
        </r>
        <r>
          <rPr>
            <sz val="9"/>
            <color indexed="81"/>
            <rFont val="Tahoma"/>
            <family val="2"/>
          </rPr>
          <t xml:space="preserve">
World average - in reality, marginal effort to save species in rich countries is not cost effective, but buying the rainforest is very cost effective (~$100k/species)</t>
        </r>
      </text>
    </comment>
    <comment ref="J30" authorId="0">
      <text>
        <r>
          <rPr>
            <b/>
            <sz val="9"/>
            <color indexed="81"/>
            <rFont val="Tahoma"/>
            <family val="2"/>
          </rPr>
          <t>ddenkenberger:</t>
        </r>
        <r>
          <rPr>
            <sz val="9"/>
            <color indexed="81"/>
            <rFont val="Tahoma"/>
            <family val="2"/>
          </rPr>
          <t xml:space="preserve">
I was tempted to do half of rainforest species, but the rainforest was much smaller due to volcanoes and ice age, so couldn't be that bad</t>
        </r>
      </text>
    </comment>
    <comment ref="N30" authorId="0">
      <text>
        <r>
          <rPr>
            <b/>
            <sz val="9"/>
            <color indexed="81"/>
            <rFont val="Tahoma"/>
            <family val="2"/>
          </rPr>
          <t>ddenkenberger:</t>
        </r>
        <r>
          <rPr>
            <sz val="9"/>
            <color indexed="81"/>
            <rFont val="Tahoma"/>
            <family val="2"/>
          </rPr>
          <t xml:space="preserve">
100 ac/species saved, $1000/ac</t>
        </r>
      </text>
    </comment>
    <comment ref="F31" authorId="1">
      <text>
        <r>
          <rPr>
            <b/>
            <sz val="9"/>
            <color indexed="81"/>
            <rFont val="Tahoma"/>
            <family val="2"/>
          </rPr>
          <t>David Denkenberger:</t>
        </r>
        <r>
          <rPr>
            <sz val="9"/>
            <color indexed="81"/>
            <rFont val="Tahoma"/>
            <family val="2"/>
          </rPr>
          <t xml:space="preserve">
Saves lives at $50 mn instead of $5 mn for typical rich country interventions</t>
        </r>
      </text>
    </comment>
    <comment ref="J31" authorId="0">
      <text>
        <r>
          <rPr>
            <b/>
            <sz val="9"/>
            <color indexed="81"/>
            <rFont val="Tahoma"/>
            <family val="2"/>
          </rPr>
          <t>ddenkenberger:</t>
        </r>
        <r>
          <rPr>
            <sz val="9"/>
            <color indexed="81"/>
            <rFont val="Tahoma"/>
            <family val="2"/>
          </rPr>
          <t xml:space="preserve">
Bald eagles from pesticides, etc</t>
        </r>
      </text>
    </comment>
    <comment ref="J32" authorId="0">
      <text>
        <r>
          <rPr>
            <b/>
            <sz val="9"/>
            <color indexed="81"/>
            <rFont val="Tahoma"/>
            <family val="2"/>
          </rPr>
          <t>ddenkenberger:</t>
        </r>
        <r>
          <rPr>
            <sz val="9"/>
            <color indexed="81"/>
            <rFont val="Tahoma"/>
            <family val="2"/>
          </rPr>
          <t xml:space="preserve">
Could destroy many non-tree plants, and insects dependent on them</t>
        </r>
      </text>
    </comment>
    <comment ref="K32" authorId="0">
      <text>
        <r>
          <rPr>
            <b/>
            <sz val="9"/>
            <color indexed="81"/>
            <rFont val="Tahoma"/>
            <family val="2"/>
          </rPr>
          <t>ddenkenberger:</t>
        </r>
        <r>
          <rPr>
            <sz val="9"/>
            <color indexed="81"/>
            <rFont val="Tahoma"/>
            <family val="2"/>
          </rPr>
          <t xml:space="preserve">
Should get an immune system after 50 yr</t>
        </r>
      </text>
    </comment>
    <comment ref="B33" authorId="0">
      <text>
        <r>
          <rPr>
            <b/>
            <sz val="9"/>
            <color indexed="81"/>
            <rFont val="Tahoma"/>
            <family val="2"/>
          </rPr>
          <t>ddenkenberger:</t>
        </r>
        <r>
          <rPr>
            <sz val="9"/>
            <color indexed="81"/>
            <rFont val="Tahoma"/>
            <family val="2"/>
          </rPr>
          <t xml:space="preserve">
If lose 10% of bacteria, and they are equal value to all the other species</t>
        </r>
      </text>
    </comment>
    <comment ref="J33" authorId="0">
      <text>
        <r>
          <rPr>
            <b/>
            <sz val="9"/>
            <color indexed="81"/>
            <rFont val="Tahoma"/>
            <family val="2"/>
          </rPr>
          <t>ddenkenberger:</t>
        </r>
        <r>
          <rPr>
            <sz val="9"/>
            <color indexed="81"/>
            <rFont val="Tahoma"/>
            <family val="2"/>
          </rPr>
          <t xml:space="preserve">
If lose 10% of bacteria, and they are equal value to all the other species</t>
        </r>
      </text>
    </comment>
    <comment ref="K33" authorId="0">
      <text>
        <r>
          <rPr>
            <b/>
            <sz val="9"/>
            <color indexed="81"/>
            <rFont val="Tahoma"/>
            <family val="2"/>
          </rPr>
          <t>ddenkenberger:</t>
        </r>
        <r>
          <rPr>
            <sz val="9"/>
            <color indexed="81"/>
            <rFont val="Tahoma"/>
            <family val="2"/>
          </rPr>
          <t xml:space="preserve">
Should get an immune system after 50 yr</t>
        </r>
      </text>
    </comment>
    <comment ref="B34" authorId="1">
      <text>
        <r>
          <rPr>
            <b/>
            <sz val="9"/>
            <color indexed="81"/>
            <rFont val="Tahoma"/>
            <family val="2"/>
          </rPr>
          <t>David Denkenberger:</t>
        </r>
        <r>
          <rPr>
            <sz val="9"/>
            <color indexed="81"/>
            <rFont val="Tahoma"/>
            <family val="2"/>
          </rPr>
          <t xml:space="preserve">
Wouldn't boil ocean, but would kill all humans except in mine shafts.</t>
        </r>
      </text>
    </comment>
    <comment ref="C34" authorId="1">
      <text>
        <r>
          <rPr>
            <b/>
            <sz val="9"/>
            <color indexed="81"/>
            <rFont val="Tahoma"/>
            <family val="2"/>
          </rPr>
          <t>David Denkenberger:</t>
        </r>
        <r>
          <rPr>
            <sz val="9"/>
            <color indexed="81"/>
            <rFont val="Tahoma"/>
            <family val="2"/>
          </rPr>
          <t xml:space="preserve">
10% chance of deflecting without prep</t>
        </r>
      </text>
    </comment>
    <comment ref="K34" authorId="0">
      <text>
        <r>
          <rPr>
            <b/>
            <sz val="9"/>
            <color indexed="81"/>
            <rFont val="Tahoma"/>
            <family val="2"/>
          </rPr>
          <t>ddenkenberger:</t>
        </r>
        <r>
          <rPr>
            <sz val="9"/>
            <color indexed="81"/>
            <rFont val="Tahoma"/>
            <family val="2"/>
          </rPr>
          <t xml:space="preserve">
Look out 300 yr</t>
        </r>
      </text>
    </comment>
    <comment ref="U34" authorId="0">
      <text>
        <r>
          <rPr>
            <b/>
            <sz val="9"/>
            <color indexed="81"/>
            <rFont val="Tahoma"/>
            <charset val="1"/>
          </rPr>
          <t>ddenkenberger:</t>
        </r>
        <r>
          <rPr>
            <sz val="9"/>
            <color indexed="81"/>
            <rFont val="Tahoma"/>
            <charset val="1"/>
          </rPr>
          <t xml:space="preserve">
Most animals killed quickly by the heat, small compared to expected future lives (Assume 1% suffering: positive outcome otherwise)</t>
        </r>
      </text>
    </comment>
    <comment ref="B35" authorId="1">
      <text>
        <r>
          <rPr>
            <b/>
            <sz val="9"/>
            <color indexed="81"/>
            <rFont val="Tahoma"/>
            <family val="2"/>
          </rPr>
          <t>David Denkenberger:</t>
        </r>
        <r>
          <rPr>
            <sz val="9"/>
            <color indexed="81"/>
            <rFont val="Tahoma"/>
            <family val="2"/>
          </rPr>
          <t xml:space="preserve">
Mushrooms, high cost, no sun, handle high heat ($25k loss/rich person/yr for 5 yr)</t>
        </r>
      </text>
    </comment>
    <comment ref="C35" authorId="1">
      <text>
        <r>
          <rPr>
            <b/>
            <sz val="9"/>
            <color indexed="81"/>
            <rFont val="Tahoma"/>
            <family val="2"/>
          </rPr>
          <t>David Denkenberger:</t>
        </r>
        <r>
          <rPr>
            <sz val="9"/>
            <color indexed="81"/>
            <rFont val="Tahoma"/>
            <family val="2"/>
          </rPr>
          <t xml:space="preserve">
30% chance of deflecting without prep</t>
        </r>
      </text>
    </comment>
    <comment ref="J35" authorId="0">
      <text>
        <r>
          <rPr>
            <b/>
            <sz val="9"/>
            <color indexed="81"/>
            <rFont val="Tahoma"/>
            <family val="2"/>
          </rPr>
          <t>ddenkenberger:</t>
        </r>
        <r>
          <rPr>
            <sz val="9"/>
            <color indexed="81"/>
            <rFont val="Tahoma"/>
            <family val="2"/>
          </rPr>
          <t xml:space="preserve">
Dinasaur killer, though we could prevent some of the species from going extinct</t>
        </r>
      </text>
    </comment>
    <comment ref="K35" authorId="0">
      <text>
        <r>
          <rPr>
            <b/>
            <sz val="9"/>
            <color indexed="81"/>
            <rFont val="Tahoma"/>
            <family val="2"/>
          </rPr>
          <t>ddenkenberger:</t>
        </r>
        <r>
          <rPr>
            <sz val="9"/>
            <color indexed="81"/>
            <rFont val="Tahoma"/>
            <family val="2"/>
          </rPr>
          <t xml:space="preserve">
Look out 300 yr</t>
        </r>
      </text>
    </comment>
    <comment ref="B36" authorId="1">
      <text>
        <r>
          <rPr>
            <b/>
            <sz val="9"/>
            <color indexed="81"/>
            <rFont val="Tahoma"/>
            <family val="2"/>
          </rPr>
          <t>David Denkenberger:</t>
        </r>
        <r>
          <rPr>
            <sz val="9"/>
            <color indexed="81"/>
            <rFont val="Tahoma"/>
            <family val="2"/>
          </rPr>
          <t xml:space="preserve">
Ag increase and white sky if hit land, or kill 0.1% due to tsunami if hit ocean (quantified)</t>
        </r>
      </text>
    </comment>
    <comment ref="C36" authorId="1">
      <text>
        <r>
          <rPr>
            <b/>
            <sz val="9"/>
            <color indexed="81"/>
            <rFont val="Tahoma"/>
            <family val="2"/>
          </rPr>
          <t>David Denkenberger:</t>
        </r>
        <r>
          <rPr>
            <sz val="9"/>
            <color indexed="81"/>
            <rFont val="Tahoma"/>
            <family val="2"/>
          </rPr>
          <t xml:space="preserve">
http://volcanoes.usgs.gov/yvo/publications/2005/docudrama.php ; 90% chance of deflecting without prep</t>
        </r>
      </text>
    </comment>
    <comment ref="K36" authorId="0">
      <text>
        <r>
          <rPr>
            <b/>
            <sz val="9"/>
            <color indexed="81"/>
            <rFont val="Tahoma"/>
            <family val="2"/>
          </rPr>
          <t>ddenkenberger:</t>
        </r>
        <r>
          <rPr>
            <sz val="9"/>
            <color indexed="81"/>
            <rFont val="Tahoma"/>
            <family val="2"/>
          </rPr>
          <t xml:space="preserve">
Look out 300 yr</t>
        </r>
      </text>
    </comment>
    <comment ref="B37" authorId="1">
      <text>
        <r>
          <rPr>
            <b/>
            <sz val="9"/>
            <color indexed="81"/>
            <rFont val="Tahoma"/>
            <family val="2"/>
          </rPr>
          <t>David Denkenberger:</t>
        </r>
        <r>
          <rPr>
            <sz val="9"/>
            <color indexed="81"/>
            <rFont val="Tahoma"/>
            <family val="2"/>
          </rPr>
          <t xml:space="preserve">
Mushrooms, high cost, no sun, handle high heat ($25k loss/rich person/yr for 5 yr)</t>
        </r>
      </text>
    </comment>
    <comment ref="C37" authorId="1">
      <text>
        <r>
          <rPr>
            <b/>
            <sz val="9"/>
            <color indexed="81"/>
            <rFont val="Tahoma"/>
            <family val="2"/>
          </rPr>
          <t>David Denkenberger:</t>
        </r>
        <r>
          <rPr>
            <sz val="9"/>
            <color indexed="81"/>
            <rFont val="Tahoma"/>
            <family val="2"/>
          </rPr>
          <t xml:space="preserve">
Not sure.</t>
        </r>
      </text>
    </comment>
    <comment ref="J37" authorId="0">
      <text>
        <r>
          <rPr>
            <b/>
            <sz val="9"/>
            <color indexed="81"/>
            <rFont val="Tahoma"/>
            <family val="2"/>
          </rPr>
          <t>ddenkenberger:</t>
        </r>
        <r>
          <rPr>
            <sz val="9"/>
            <color indexed="81"/>
            <rFont val="Tahoma"/>
            <family val="2"/>
          </rPr>
          <t xml:space="preserve">
Like KT</t>
        </r>
      </text>
    </comment>
    <comment ref="K37" authorId="0">
      <text>
        <r>
          <rPr>
            <b/>
            <sz val="9"/>
            <color indexed="81"/>
            <rFont val="Tahoma"/>
            <family val="2"/>
          </rPr>
          <t>ddenkenberger:</t>
        </r>
        <r>
          <rPr>
            <sz val="9"/>
            <color indexed="81"/>
            <rFont val="Tahoma"/>
            <family val="2"/>
          </rPr>
          <t xml:space="preserve">
Look out 300 yr</t>
        </r>
      </text>
    </comment>
    <comment ref="B38" authorId="1">
      <text>
        <r>
          <rPr>
            <b/>
            <sz val="9"/>
            <color indexed="81"/>
            <rFont val="Tahoma"/>
            <family val="2"/>
          </rPr>
          <t>David Denkenberger:</t>
        </r>
        <r>
          <rPr>
            <sz val="9"/>
            <color indexed="81"/>
            <rFont val="Tahoma"/>
            <family val="2"/>
          </rPr>
          <t xml:space="preserve">
Mushrooms, high cost, no sun, handle high heat ($25k loss/rich person/yr for 5 yr)</t>
        </r>
      </text>
    </comment>
    <comment ref="J38" authorId="0">
      <text>
        <r>
          <rPr>
            <b/>
            <sz val="9"/>
            <color indexed="81"/>
            <rFont val="Tahoma"/>
            <family val="2"/>
          </rPr>
          <t>ddenkenberger:</t>
        </r>
        <r>
          <rPr>
            <sz val="9"/>
            <color indexed="81"/>
            <rFont val="Tahoma"/>
            <family val="2"/>
          </rPr>
          <t xml:space="preserve">
Like 70,000 yr ago</t>
        </r>
      </text>
    </comment>
    <comment ref="K38" authorId="0">
      <text>
        <r>
          <rPr>
            <b/>
            <sz val="9"/>
            <color indexed="81"/>
            <rFont val="Tahoma"/>
            <family val="2"/>
          </rPr>
          <t>ddenkenberger:</t>
        </r>
        <r>
          <rPr>
            <sz val="9"/>
            <color indexed="81"/>
            <rFont val="Tahoma"/>
            <family val="2"/>
          </rPr>
          <t xml:space="preserve">
Look out 300 yr</t>
        </r>
      </text>
    </comment>
    <comment ref="B39" authorId="1">
      <text>
        <r>
          <rPr>
            <b/>
            <sz val="9"/>
            <color indexed="81"/>
            <rFont val="Tahoma"/>
            <family val="2"/>
          </rPr>
          <t>David Denkenberger:</t>
        </r>
        <r>
          <rPr>
            <sz val="9"/>
            <color indexed="81"/>
            <rFont val="Tahoma"/>
            <family val="2"/>
          </rPr>
          <t xml:space="preserve">
Mostly vegan, high cost, some plant extinctions</t>
        </r>
      </text>
    </comment>
    <comment ref="C39" authorId="1">
      <text>
        <r>
          <rPr>
            <b/>
            <sz val="9"/>
            <color indexed="81"/>
            <rFont val="Tahoma"/>
            <family val="2"/>
          </rPr>
          <t>David Denkenberger:</t>
        </r>
        <r>
          <rPr>
            <sz val="9"/>
            <color indexed="81"/>
            <rFont val="Tahoma"/>
            <family val="2"/>
          </rPr>
          <t xml:space="preserve">
Species go extinct every ~1 mn years, but we would try to save</t>
        </r>
      </text>
    </comment>
    <comment ref="J39" authorId="0">
      <text>
        <r>
          <rPr>
            <b/>
            <sz val="9"/>
            <color indexed="81"/>
            <rFont val="Tahoma"/>
            <family val="2"/>
          </rPr>
          <t>ddenkenberger:</t>
        </r>
        <r>
          <rPr>
            <sz val="9"/>
            <color indexed="81"/>
            <rFont val="Tahoma"/>
            <family val="2"/>
          </rPr>
          <t xml:space="preserve">
Loss of many flowering plants and dependent insects</t>
        </r>
      </text>
    </comment>
    <comment ref="K39" authorId="0">
      <text>
        <r>
          <rPr>
            <b/>
            <sz val="9"/>
            <color indexed="81"/>
            <rFont val="Tahoma"/>
            <family val="2"/>
          </rPr>
          <t>ddenkenberger:</t>
        </r>
        <r>
          <rPr>
            <sz val="9"/>
            <color indexed="81"/>
            <rFont val="Tahoma"/>
            <family val="2"/>
          </rPr>
          <t xml:space="preserve">
Look out 300 yr</t>
        </r>
      </text>
    </comment>
    <comment ref="A40" authorId="0">
      <text>
        <r>
          <rPr>
            <b/>
            <sz val="9"/>
            <color indexed="81"/>
            <rFont val="Tahoma"/>
            <charset val="1"/>
          </rPr>
          <t>ddenkenberger:</t>
        </r>
        <r>
          <rPr>
            <sz val="9"/>
            <color indexed="81"/>
            <rFont val="Tahoma"/>
            <charset val="1"/>
          </rPr>
          <t xml:space="preserve">
Assuming ~0.01 the suffering of humans; if brain size weighted, only as cost effective as middle class spent on self!</t>
        </r>
      </text>
    </comment>
    <comment ref="A41" authorId="1">
      <text>
        <r>
          <rPr>
            <b/>
            <sz val="9"/>
            <color indexed="81"/>
            <rFont val="Tahoma"/>
            <family val="2"/>
          </rPr>
          <t>David Denkenberger:</t>
        </r>
        <r>
          <rPr>
            <sz val="9"/>
            <color indexed="81"/>
            <rFont val="Tahoma"/>
            <family val="2"/>
          </rPr>
          <t xml:space="preserve">
Only accounting for pamphlet cost - most of the cost is actually acrued by the vegan (taste, etc)</t>
        </r>
      </text>
    </comment>
    <comment ref="A42" authorId="1">
      <text>
        <r>
          <rPr>
            <b/>
            <sz val="9"/>
            <color indexed="81"/>
            <rFont val="Tahoma"/>
            <family val="2"/>
          </rPr>
          <t>David Denkenberger:</t>
        </r>
        <r>
          <rPr>
            <sz val="9"/>
            <color indexed="81"/>
            <rFont val="Tahoma"/>
            <family val="2"/>
          </rPr>
          <t xml:space="preserve">
maybe not less suffering b/c lower productivity</t>
        </r>
      </text>
    </comment>
    <comment ref="A43" authorId="1">
      <text>
        <r>
          <rPr>
            <b/>
            <sz val="9"/>
            <color indexed="81"/>
            <rFont val="Tahoma"/>
            <family val="2"/>
          </rPr>
          <t>David Denkenberger:</t>
        </r>
        <r>
          <rPr>
            <sz val="9"/>
            <color indexed="81"/>
            <rFont val="Tahoma"/>
            <family val="2"/>
          </rPr>
          <t xml:space="preserve">
maybe not less suffering b/c lower productivity</t>
        </r>
      </text>
    </comment>
    <comment ref="E43" authorId="0">
      <text>
        <r>
          <rPr>
            <b/>
            <sz val="9"/>
            <color indexed="81"/>
            <rFont val="Tahoma"/>
            <family val="2"/>
          </rPr>
          <t>ddenkenberger:</t>
        </r>
        <r>
          <rPr>
            <sz val="9"/>
            <color indexed="81"/>
            <rFont val="Tahoma"/>
            <family val="2"/>
          </rPr>
          <t xml:space="preserve">
Vegan $5k/yr sacrifice, vegetarian $1k/yr sacrifice, free range, etc</t>
        </r>
      </text>
    </comment>
    <comment ref="W43" authorId="0">
      <text>
        <r>
          <rPr>
            <b/>
            <sz val="9"/>
            <color indexed="81"/>
            <rFont val="Tahoma"/>
            <family val="2"/>
          </rPr>
          <t>ddenkenberger:</t>
        </r>
        <r>
          <rPr>
            <sz val="9"/>
            <color indexed="81"/>
            <rFont val="Tahoma"/>
            <family val="2"/>
          </rPr>
          <t xml:space="preserve">
100% suffering, .3 equiv human, for rest of sun's life (though I think we will solve it with synthetics or computer consciousnesses)</t>
        </r>
      </text>
    </comment>
    <comment ref="AD43" authorId="0">
      <text>
        <r>
          <rPr>
            <b/>
            <sz val="9"/>
            <color indexed="81"/>
            <rFont val="Tahoma"/>
            <family val="2"/>
          </rPr>
          <t>ddenkenberger:</t>
        </r>
        <r>
          <rPr>
            <sz val="9"/>
            <color indexed="81"/>
            <rFont val="Tahoma"/>
            <family val="2"/>
          </rPr>
          <t xml:space="preserve">
Suffering years replaced with good years</t>
        </r>
      </text>
    </comment>
    <comment ref="AF43" authorId="0">
      <text>
        <r>
          <rPr>
            <b/>
            <sz val="9"/>
            <color indexed="81"/>
            <rFont val="Tahoma"/>
            <family val="2"/>
          </rPr>
          <t>ddenkenberger:</t>
        </r>
        <r>
          <rPr>
            <sz val="9"/>
            <color indexed="81"/>
            <rFont val="Tahoma"/>
            <family val="2"/>
          </rPr>
          <t xml:space="preserve">
Replacing suffering with good years</t>
        </r>
      </text>
    </comment>
    <comment ref="H45" authorId="1">
      <text>
        <r>
          <rPr>
            <b/>
            <sz val="9"/>
            <color indexed="81"/>
            <rFont val="Tahoma"/>
            <family val="2"/>
          </rPr>
          <t>David Denkenberger:</t>
        </r>
        <r>
          <rPr>
            <sz val="9"/>
            <color indexed="81"/>
            <rFont val="Tahoma"/>
            <family val="2"/>
          </rPr>
          <t xml:space="preserve">
Child vaccination</t>
        </r>
      </text>
    </comment>
    <comment ref="E46" authorId="1">
      <text>
        <r>
          <rPr>
            <b/>
            <sz val="9"/>
            <color indexed="81"/>
            <rFont val="Tahoma"/>
            <family val="2"/>
          </rPr>
          <t>David Denkenberger:</t>
        </r>
        <r>
          <rPr>
            <sz val="9"/>
            <color indexed="81"/>
            <rFont val="Tahoma"/>
            <family val="2"/>
          </rPr>
          <t xml:space="preserve">
1/4 of rich country gov’t budgets</t>
        </r>
      </text>
    </comment>
    <comment ref="G46" authorId="1">
      <text>
        <r>
          <rPr>
            <b/>
            <sz val="9"/>
            <color indexed="81"/>
            <rFont val="Tahoma"/>
            <family val="2"/>
          </rPr>
          <t>David Denkenberger:</t>
        </r>
        <r>
          <rPr>
            <sz val="9"/>
            <color indexed="81"/>
            <rFont val="Tahoma"/>
            <family val="2"/>
          </rPr>
          <t xml:space="preserve">
With government support</t>
        </r>
      </text>
    </comment>
    <comment ref="G47" authorId="0">
      <text>
        <r>
          <rPr>
            <b/>
            <sz val="9"/>
            <color indexed="81"/>
            <rFont val="Tahoma"/>
            <family val="2"/>
          </rPr>
          <t>ddenkenberger:</t>
        </r>
        <r>
          <rPr>
            <sz val="9"/>
            <color indexed="81"/>
            <rFont val="Tahoma"/>
            <family val="2"/>
          </rPr>
          <t xml:space="preserve">
Equivalent, including effects of racisim, sexism, etc</t>
        </r>
      </text>
    </comment>
    <comment ref="B48" authorId="0">
      <text>
        <r>
          <rPr>
            <b/>
            <sz val="9"/>
            <color indexed="81"/>
            <rFont val="Tahoma"/>
            <family val="2"/>
          </rPr>
          <t>ddenkenberger:</t>
        </r>
        <r>
          <rPr>
            <sz val="9"/>
            <color indexed="81"/>
            <rFont val="Tahoma"/>
            <family val="2"/>
          </rPr>
          <t xml:space="preserve">
7 yr life extension, but not for all rich people with discounting</t>
        </r>
      </text>
    </comment>
    <comment ref="C48" authorId="0">
      <text>
        <r>
          <rPr>
            <b/>
            <sz val="9"/>
            <color indexed="81"/>
            <rFont val="Tahoma"/>
            <family val="2"/>
          </rPr>
          <t>ddenkenberger:</t>
        </r>
        <r>
          <rPr>
            <sz val="9"/>
            <color indexed="81"/>
            <rFont val="Tahoma"/>
            <family val="2"/>
          </rPr>
          <t xml:space="preserve">
Of solving</t>
        </r>
      </text>
    </comment>
    <comment ref="D48" authorId="0">
      <text>
        <r>
          <rPr>
            <b/>
            <sz val="9"/>
            <color indexed="81"/>
            <rFont val="Tahoma"/>
            <family val="2"/>
          </rPr>
          <t>ddenkenberger:</t>
        </r>
        <r>
          <rPr>
            <sz val="9"/>
            <color indexed="81"/>
            <rFont val="Tahoma"/>
            <family val="2"/>
          </rPr>
          <t xml:space="preserve">
Actually expected benefit of solving</t>
        </r>
      </text>
    </comment>
    <comment ref="B49" authorId="0">
      <text>
        <r>
          <rPr>
            <b/>
            <sz val="9"/>
            <color indexed="81"/>
            <rFont val="Tahoma"/>
            <family val="2"/>
          </rPr>
          <t>ddenkenberger:</t>
        </r>
        <r>
          <rPr>
            <sz val="9"/>
            <color indexed="81"/>
            <rFont val="Tahoma"/>
            <family val="2"/>
          </rPr>
          <t xml:space="preserve">
500 yr life extension, but not for all rich people with discounting</t>
        </r>
      </text>
    </comment>
    <comment ref="C49" authorId="0">
      <text>
        <r>
          <rPr>
            <b/>
            <sz val="9"/>
            <color indexed="81"/>
            <rFont val="Tahoma"/>
            <family val="2"/>
          </rPr>
          <t>ddenkenberger:</t>
        </r>
        <r>
          <rPr>
            <sz val="9"/>
            <color indexed="81"/>
            <rFont val="Tahoma"/>
            <family val="2"/>
          </rPr>
          <t xml:space="preserve">
Of solving</t>
        </r>
      </text>
    </comment>
    <comment ref="D49" authorId="0">
      <text>
        <r>
          <rPr>
            <b/>
            <sz val="9"/>
            <color indexed="81"/>
            <rFont val="Tahoma"/>
            <family val="2"/>
          </rPr>
          <t>ddenkenberger:</t>
        </r>
        <r>
          <rPr>
            <sz val="9"/>
            <color indexed="81"/>
            <rFont val="Tahoma"/>
            <family val="2"/>
          </rPr>
          <t xml:space="preserve">
Actually expected benefit of solving</t>
        </r>
      </text>
    </comment>
    <comment ref="B50" authorId="0">
      <text>
        <r>
          <rPr>
            <b/>
            <sz val="9"/>
            <color indexed="81"/>
            <rFont val="Tahoma"/>
            <family val="2"/>
          </rPr>
          <t>ddenkenberger:</t>
        </r>
        <r>
          <rPr>
            <sz val="9"/>
            <color indexed="81"/>
            <rFont val="Tahoma"/>
            <family val="2"/>
          </rPr>
          <t xml:space="preserve">
Many years extension, but world could end, or a lot of damage could occur before freezing, so say similar to cancer now</t>
        </r>
      </text>
    </comment>
    <comment ref="C50" authorId="0">
      <text>
        <r>
          <rPr>
            <b/>
            <sz val="9"/>
            <color indexed="81"/>
            <rFont val="Tahoma"/>
            <family val="2"/>
          </rPr>
          <t>ddenkenberger:</t>
        </r>
        <r>
          <rPr>
            <sz val="9"/>
            <color indexed="81"/>
            <rFont val="Tahoma"/>
            <family val="2"/>
          </rPr>
          <t xml:space="preserve">
Of converting people with good evidence</t>
        </r>
      </text>
    </comment>
    <comment ref="D50" authorId="0">
      <text>
        <r>
          <rPr>
            <b/>
            <sz val="9"/>
            <color indexed="81"/>
            <rFont val="Tahoma"/>
            <family val="2"/>
          </rPr>
          <t>ddenkenberger:</t>
        </r>
        <r>
          <rPr>
            <sz val="9"/>
            <color indexed="81"/>
            <rFont val="Tahoma"/>
            <family val="2"/>
          </rPr>
          <t xml:space="preserve">
Actually expected benefit of solving</t>
        </r>
      </text>
    </comment>
    <comment ref="A51" authorId="0">
      <text>
        <r>
          <rPr>
            <b/>
            <sz val="9"/>
            <color indexed="81"/>
            <rFont val="Tahoma"/>
            <family val="2"/>
          </rPr>
          <t>ddenkenberger:</t>
        </r>
        <r>
          <rPr>
            <sz val="9"/>
            <color indexed="81"/>
            <rFont val="Tahoma"/>
            <family val="2"/>
          </rPr>
          <t xml:space="preserve">
Instead of pain as motivation</t>
        </r>
      </text>
    </comment>
    <comment ref="B51" authorId="0">
      <text>
        <r>
          <rPr>
            <b/>
            <sz val="9"/>
            <color indexed="81"/>
            <rFont val="Tahoma"/>
            <family val="2"/>
          </rPr>
          <t>ddenkenberger:</t>
        </r>
        <r>
          <rPr>
            <sz val="9"/>
            <color indexed="81"/>
            <rFont val="Tahoma"/>
            <family val="2"/>
          </rPr>
          <t xml:space="preserve">
Worth $100k/rich person/yr looking out 50 yr</t>
        </r>
      </text>
    </comment>
    <comment ref="C51" authorId="0">
      <text>
        <r>
          <rPr>
            <b/>
            <sz val="9"/>
            <color indexed="81"/>
            <rFont val="Tahoma"/>
            <family val="2"/>
          </rPr>
          <t>ddenkenberger:</t>
        </r>
        <r>
          <rPr>
            <sz val="9"/>
            <color indexed="81"/>
            <rFont val="Tahoma"/>
            <family val="2"/>
          </rPr>
          <t xml:space="preserve">
Of solving</t>
        </r>
      </text>
    </comment>
    <comment ref="D51" authorId="0">
      <text>
        <r>
          <rPr>
            <b/>
            <sz val="9"/>
            <color indexed="81"/>
            <rFont val="Tahoma"/>
            <family val="2"/>
          </rPr>
          <t>ddenkenberger:</t>
        </r>
        <r>
          <rPr>
            <sz val="9"/>
            <color indexed="81"/>
            <rFont val="Tahoma"/>
            <family val="2"/>
          </rPr>
          <t xml:space="preserve">
Actually expected benefit of solving</t>
        </r>
      </text>
    </comment>
    <comment ref="U51" authorId="0">
      <text>
        <r>
          <rPr>
            <b/>
            <sz val="9"/>
            <color indexed="81"/>
            <rFont val="Tahoma"/>
            <family val="2"/>
          </rPr>
          <t>ddenkenberger:</t>
        </r>
        <r>
          <rPr>
            <sz val="9"/>
            <color indexed="81"/>
            <rFont val="Tahoma"/>
            <family val="2"/>
          </rPr>
          <t xml:space="preserve">
Assume 1% suffering business as usual</t>
        </r>
      </text>
    </comment>
    <comment ref="B52" authorId="0">
      <text>
        <r>
          <rPr>
            <b/>
            <sz val="9"/>
            <color indexed="81"/>
            <rFont val="Tahoma"/>
            <family val="2"/>
          </rPr>
          <t>ddenkenberger:</t>
        </r>
        <r>
          <rPr>
            <sz val="9"/>
            <color indexed="81"/>
            <rFont val="Tahoma"/>
            <family val="2"/>
          </rPr>
          <t xml:space="preserve">
Worth $100k/yr for all expected consciousnesses</t>
        </r>
      </text>
    </comment>
    <comment ref="U52" authorId="0">
      <text>
        <r>
          <rPr>
            <b/>
            <sz val="9"/>
            <color indexed="81"/>
            <rFont val="Tahoma"/>
            <family val="2"/>
          </rPr>
          <t>ddenkenberger:</t>
        </r>
        <r>
          <rPr>
            <sz val="9"/>
            <color indexed="81"/>
            <rFont val="Tahoma"/>
            <family val="2"/>
          </rPr>
          <t xml:space="preserve">
Assume 1% suffering business as usual</t>
        </r>
      </text>
    </comment>
    <comment ref="A53" authorId="0">
      <text>
        <r>
          <rPr>
            <b/>
            <sz val="9"/>
            <color indexed="81"/>
            <rFont val="Tahoma"/>
            <family val="2"/>
          </rPr>
          <t>ddenkenberger:</t>
        </r>
        <r>
          <rPr>
            <sz val="9"/>
            <color indexed="81"/>
            <rFont val="Tahoma"/>
            <family val="2"/>
          </rPr>
          <t xml:space="preserve">
Instead of pain as motivation</t>
        </r>
      </text>
    </comment>
    <comment ref="B53" authorId="0">
      <text>
        <r>
          <rPr>
            <b/>
            <sz val="9"/>
            <color indexed="81"/>
            <rFont val="Tahoma"/>
            <family val="2"/>
          </rPr>
          <t>ddenkenberger:</t>
        </r>
        <r>
          <rPr>
            <sz val="9"/>
            <color indexed="81"/>
            <rFont val="Tahoma"/>
            <family val="2"/>
          </rPr>
          <t xml:space="preserve">
Worth $100k/rich person/yr looking out 50 yr</t>
        </r>
      </text>
    </comment>
    <comment ref="C53" authorId="0">
      <text>
        <r>
          <rPr>
            <b/>
            <sz val="9"/>
            <color indexed="81"/>
            <rFont val="Tahoma"/>
            <family val="2"/>
          </rPr>
          <t>ddenkenberger:</t>
        </r>
        <r>
          <rPr>
            <sz val="9"/>
            <color indexed="81"/>
            <rFont val="Tahoma"/>
            <family val="2"/>
          </rPr>
          <t xml:space="preserve">
Of solving</t>
        </r>
      </text>
    </comment>
    <comment ref="D53" authorId="0">
      <text>
        <r>
          <rPr>
            <b/>
            <sz val="9"/>
            <color indexed="81"/>
            <rFont val="Tahoma"/>
            <family val="2"/>
          </rPr>
          <t>ddenkenberger:</t>
        </r>
        <r>
          <rPr>
            <sz val="9"/>
            <color indexed="81"/>
            <rFont val="Tahoma"/>
            <family val="2"/>
          </rPr>
          <t xml:space="preserve">
Actually expected benefit of solving</t>
        </r>
      </text>
    </comment>
    <comment ref="U53" authorId="0">
      <text>
        <r>
          <rPr>
            <b/>
            <sz val="9"/>
            <color indexed="81"/>
            <rFont val="Tahoma"/>
            <family val="2"/>
          </rPr>
          <t>ddenkenberger:</t>
        </r>
        <r>
          <rPr>
            <sz val="9"/>
            <color indexed="81"/>
            <rFont val="Tahoma"/>
            <family val="2"/>
          </rPr>
          <t xml:space="preserve">
Eliminating the 50% suffering on earth, until sun cooks earth; simulated animals would be much larger impact</t>
        </r>
      </text>
    </comment>
    <comment ref="AB53" authorId="0">
      <text>
        <r>
          <rPr>
            <b/>
            <sz val="9"/>
            <color indexed="81"/>
            <rFont val="Tahoma"/>
            <family val="2"/>
          </rPr>
          <t>ddenkenberger:</t>
        </r>
        <r>
          <rPr>
            <sz val="9"/>
            <color indexed="81"/>
            <rFont val="Tahoma"/>
            <family val="2"/>
          </rPr>
          <t xml:space="preserve">
Making welfare 10x current average, until sun cooks earth; simulated animals would be much larger impact</t>
        </r>
      </text>
    </comment>
    <comment ref="B54" authorId="0">
      <text>
        <r>
          <rPr>
            <b/>
            <sz val="9"/>
            <color indexed="81"/>
            <rFont val="Tahoma"/>
            <family val="2"/>
          </rPr>
          <t>ddenkenberger:</t>
        </r>
        <r>
          <rPr>
            <sz val="9"/>
            <color indexed="81"/>
            <rFont val="Tahoma"/>
            <family val="2"/>
          </rPr>
          <t xml:space="preserve">
Saves humanity from grey goo, black hole, strangelet and 100 km asteriod.</t>
        </r>
      </text>
    </comment>
    <comment ref="E54" authorId="0">
      <text>
        <r>
          <rPr>
            <b/>
            <sz val="9"/>
            <color indexed="81"/>
            <rFont val="Tahoma"/>
            <family val="2"/>
          </rPr>
          <t>ddenkenberger:</t>
        </r>
        <r>
          <rPr>
            <sz val="9"/>
            <color indexed="81"/>
            <rFont val="Tahoma"/>
            <family val="2"/>
          </rPr>
          <t xml:space="preserve">
One time cost</t>
        </r>
      </text>
    </comment>
    <comment ref="M54" authorId="0">
      <text>
        <r>
          <rPr>
            <b/>
            <sz val="9"/>
            <color indexed="81"/>
            <rFont val="Tahoma"/>
            <family val="2"/>
          </rPr>
          <t>ddenkenberger:</t>
        </r>
        <r>
          <rPr>
            <sz val="9"/>
            <color indexed="81"/>
            <rFont val="Tahoma"/>
            <family val="2"/>
          </rPr>
          <t xml:space="preserve">
One time cost</t>
        </r>
      </text>
    </comment>
    <comment ref="U54" authorId="0">
      <text>
        <r>
          <rPr>
            <b/>
            <sz val="9"/>
            <color indexed="81"/>
            <rFont val="Tahoma"/>
            <family val="2"/>
          </rPr>
          <t>ddenkenberger:</t>
        </r>
        <r>
          <rPr>
            <sz val="9"/>
            <color indexed="81"/>
            <rFont val="Tahoma"/>
            <family val="2"/>
          </rPr>
          <t xml:space="preserve">
Saves humanity from grey goo and 100 km asteriod.</t>
        </r>
      </text>
    </comment>
    <comment ref="X54" authorId="0">
      <text>
        <r>
          <rPr>
            <b/>
            <sz val="9"/>
            <color indexed="81"/>
            <rFont val="Tahoma"/>
            <family val="2"/>
          </rPr>
          <t>ddenkenberger:</t>
        </r>
        <r>
          <rPr>
            <sz val="9"/>
            <color indexed="81"/>
            <rFont val="Tahoma"/>
            <family val="2"/>
          </rPr>
          <t xml:space="preserve">
One time cost</t>
        </r>
      </text>
    </comment>
    <comment ref="AB54" authorId="0">
      <text>
        <r>
          <rPr>
            <b/>
            <sz val="9"/>
            <color indexed="81"/>
            <rFont val="Tahoma"/>
            <family val="2"/>
          </rPr>
          <t>ddenkenberger:</t>
        </r>
        <r>
          <rPr>
            <sz val="9"/>
            <color indexed="81"/>
            <rFont val="Tahoma"/>
            <family val="2"/>
          </rPr>
          <t xml:space="preserve">
Saves humanity from grey goo and 100 km asteriod.</t>
        </r>
      </text>
    </comment>
    <comment ref="AE54" authorId="0">
      <text>
        <r>
          <rPr>
            <b/>
            <sz val="9"/>
            <color indexed="81"/>
            <rFont val="Tahoma"/>
            <family val="2"/>
          </rPr>
          <t>ddenkenberger:</t>
        </r>
        <r>
          <rPr>
            <sz val="9"/>
            <color indexed="81"/>
            <rFont val="Tahoma"/>
            <family val="2"/>
          </rPr>
          <t xml:space="preserve">
One time cost</t>
        </r>
      </text>
    </comment>
    <comment ref="A55" authorId="0">
      <text>
        <r>
          <rPr>
            <b/>
            <sz val="9"/>
            <color indexed="81"/>
            <rFont val="Tahoma"/>
            <family val="2"/>
          </rPr>
          <t>ddenkenberger:</t>
        </r>
        <r>
          <rPr>
            <sz val="9"/>
            <color indexed="81"/>
            <rFont val="Tahoma"/>
            <family val="2"/>
          </rPr>
          <t xml:space="preserve">
In addition to earth ark (marginal analysis)</t>
        </r>
      </text>
    </comment>
    <comment ref="B55" authorId="0">
      <text>
        <r>
          <rPr>
            <b/>
            <sz val="9"/>
            <color indexed="81"/>
            <rFont val="Tahoma"/>
            <family val="2"/>
          </rPr>
          <t>ddenkenberger:</t>
        </r>
        <r>
          <rPr>
            <sz val="9"/>
            <color indexed="81"/>
            <rFont val="Tahoma"/>
            <family val="2"/>
          </rPr>
          <t xml:space="preserve">
When used in addition to earth ark, saves humanity from black hole and strangelet.</t>
        </r>
      </text>
    </comment>
    <comment ref="E55" authorId="0">
      <text>
        <r>
          <rPr>
            <b/>
            <sz val="9"/>
            <color indexed="81"/>
            <rFont val="Tahoma"/>
            <charset val="1"/>
          </rPr>
          <t>ddenkenberger:</t>
        </r>
        <r>
          <rPr>
            <sz val="9"/>
            <color indexed="81"/>
            <rFont val="Tahoma"/>
            <charset val="1"/>
          </rPr>
          <t xml:space="preserve">
One time cost</t>
        </r>
      </text>
    </comment>
    <comment ref="J55" authorId="0">
      <text>
        <r>
          <rPr>
            <b/>
            <sz val="9"/>
            <color indexed="81"/>
            <rFont val="Tahoma"/>
            <charset val="1"/>
          </rPr>
          <t>ddenkenberger:</t>
        </r>
        <r>
          <rPr>
            <sz val="9"/>
            <color indexed="81"/>
            <rFont val="Tahoma"/>
            <charset val="1"/>
          </rPr>
          <t xml:space="preserve">
When used in addition to earth ark, saves the families and up (keep the phyla alivea and freeze the families) from black hole and strangelet.</t>
        </r>
      </text>
    </comment>
    <comment ref="M55" authorId="0">
      <text>
        <r>
          <rPr>
            <b/>
            <sz val="9"/>
            <color indexed="81"/>
            <rFont val="Tahoma"/>
            <family val="2"/>
          </rPr>
          <t>ddenkenberger:</t>
        </r>
        <r>
          <rPr>
            <sz val="9"/>
            <color indexed="81"/>
            <rFont val="Tahoma"/>
            <family val="2"/>
          </rPr>
          <t xml:space="preserve">
One time cost</t>
        </r>
      </text>
    </comment>
    <comment ref="U55" authorId="0">
      <text>
        <r>
          <rPr>
            <b/>
            <sz val="9"/>
            <color indexed="81"/>
            <rFont val="Tahoma"/>
            <family val="2"/>
          </rPr>
          <t>ddenkenberger:</t>
        </r>
        <r>
          <rPr>
            <sz val="9"/>
            <color indexed="81"/>
            <rFont val="Tahoma"/>
            <family val="2"/>
          </rPr>
          <t xml:space="preserve">
When used in addition to earth ark, saves humanity from black hole and strangelet.</t>
        </r>
      </text>
    </comment>
    <comment ref="X55" authorId="0">
      <text>
        <r>
          <rPr>
            <b/>
            <sz val="9"/>
            <color indexed="81"/>
            <rFont val="Tahoma"/>
            <family val="2"/>
          </rPr>
          <t>ddenkenberger:</t>
        </r>
        <r>
          <rPr>
            <sz val="9"/>
            <color indexed="81"/>
            <rFont val="Tahoma"/>
            <family val="2"/>
          </rPr>
          <t xml:space="preserve">
One time cost</t>
        </r>
      </text>
    </comment>
    <comment ref="AB55" authorId="0">
      <text>
        <r>
          <rPr>
            <b/>
            <sz val="9"/>
            <color indexed="81"/>
            <rFont val="Tahoma"/>
            <family val="2"/>
          </rPr>
          <t>ddenkenberger:</t>
        </r>
        <r>
          <rPr>
            <sz val="9"/>
            <color indexed="81"/>
            <rFont val="Tahoma"/>
            <family val="2"/>
          </rPr>
          <t xml:space="preserve">
When used in addition to space ark, saves humanity from black hole and strangelet.</t>
        </r>
      </text>
    </comment>
    <comment ref="AE55" authorId="0">
      <text>
        <r>
          <rPr>
            <b/>
            <sz val="9"/>
            <color indexed="81"/>
            <rFont val="Tahoma"/>
            <family val="2"/>
          </rPr>
          <t>ddenkenberger:</t>
        </r>
        <r>
          <rPr>
            <sz val="9"/>
            <color indexed="81"/>
            <rFont val="Tahoma"/>
            <family val="2"/>
          </rPr>
          <t xml:space="preserve">
One time cost</t>
        </r>
      </text>
    </comment>
    <comment ref="F56" authorId="1">
      <text>
        <r>
          <rPr>
            <b/>
            <sz val="9"/>
            <color indexed="81"/>
            <rFont val="Tahoma"/>
            <family val="2"/>
          </rPr>
          <t>David Denkenberger:</t>
        </r>
        <r>
          <rPr>
            <sz val="9"/>
            <color indexed="81"/>
            <rFont val="Tahoma"/>
            <family val="2"/>
          </rPr>
          <t xml:space="preserve">
Definition</t>
        </r>
      </text>
    </comment>
  </commentList>
</comments>
</file>

<file path=xl/sharedStrings.xml><?xml version="1.0" encoding="utf-8"?>
<sst xmlns="http://schemas.openxmlformats.org/spreadsheetml/2006/main" count="155" uniqueCount="145">
  <si>
    <t>Cost effectiveness of charities including existential risks</t>
  </si>
  <si>
    <t>Value of rich life</t>
  </si>
  <si>
    <t>Value of poor life</t>
  </si>
  <si>
    <t>Value of non-bacteria species</t>
  </si>
  <si>
    <t>Number of non-bacteria species</t>
  </si>
  <si>
    <t>Problem</t>
  </si>
  <si>
    <t>Cumlative probability discounted</t>
  </si>
  <si>
    <t>Economic growth rate</t>
  </si>
  <si>
    <t>Real discount rate</t>
  </si>
  <si>
    <t>Net discount</t>
  </si>
  <si>
    <t>Rough time horizon (yr)</t>
  </si>
  <si>
    <r>
      <rPr>
        <b/>
        <sz val="11"/>
        <color theme="1"/>
        <rFont val="Calibri"/>
        <family val="2"/>
        <scheme val="minor"/>
      </rPr>
      <t>Bold</t>
    </r>
    <r>
      <rPr>
        <sz val="11"/>
        <color theme="1"/>
        <rFont val="Calibri"/>
        <family val="2"/>
        <scheme val="minor"/>
      </rPr>
      <t xml:space="preserve"> numbers are inputs</t>
    </r>
  </si>
  <si>
    <t>Rip fabric of space</t>
  </si>
  <si>
    <t>Damage if occurred now ($ tn)</t>
  </si>
  <si>
    <t>Expected damage ($ tn)</t>
  </si>
  <si>
    <t>Current effort ($ bn/yr)</t>
  </si>
  <si>
    <t>Negative singularity</t>
  </si>
  <si>
    <t>Grey goo</t>
  </si>
  <si>
    <t>Strangelet</t>
  </si>
  <si>
    <t>Black hole</t>
  </si>
  <si>
    <t>Superweed</t>
  </si>
  <si>
    <t>World GDP ($ tn)</t>
  </si>
  <si>
    <t>Large asteroid (10 km)</t>
  </si>
  <si>
    <t>Medium asteroid (1 km)</t>
  </si>
  <si>
    <t>Super duper volcano</t>
  </si>
  <si>
    <t>Super volcano</t>
  </si>
  <si>
    <t>$1/day poverty</t>
  </si>
  <si>
    <t>Benefit/cost</t>
  </si>
  <si>
    <t>buying free range eggs</t>
  </si>
  <si>
    <t xml:space="preserve">Industrial premium for free range eggs </t>
  </si>
  <si>
    <t>Vegan outreach</t>
  </si>
  <si>
    <t>Humane pesticides</t>
  </si>
  <si>
    <t>Middle-class spend on self</t>
  </si>
  <si>
    <t>Rich country poverty</t>
  </si>
  <si>
    <t>$/DALY</t>
  </si>
  <si>
    <t>Simulation of us turned off</t>
  </si>
  <si>
    <t>Aliens destroy earth</t>
  </si>
  <si>
    <t>Median climate change</t>
  </si>
  <si>
    <t>20 C climate change</t>
  </si>
  <si>
    <t>90% human kill natural virus</t>
  </si>
  <si>
    <t>90% human kill artificial virus</t>
  </si>
  <si>
    <t>10% human kill natural virus</t>
  </si>
  <si>
    <t>10% human kill artificial virus</t>
  </si>
  <si>
    <t>Habitat, etc species loss</t>
  </si>
  <si>
    <t>6 C abrupt climate change (natural)</t>
  </si>
  <si>
    <t>Church charity (vast majority to middle class)</t>
  </si>
  <si>
    <t>Air, water pollution rich country</t>
  </si>
  <si>
    <t>Solar radiation management (solution)</t>
  </si>
  <si>
    <t>Full scale nuclear war (not winter)</t>
  </si>
  <si>
    <t>Very large asteroid (100 km)</t>
  </si>
  <si>
    <t>Complete loss of bees</t>
  </si>
  <si>
    <t>Biodiversity only (extreme environmentalist)</t>
  </si>
  <si>
    <t>Genera</t>
  </si>
  <si>
    <t>#</t>
  </si>
  <si>
    <t>Value</t>
  </si>
  <si>
    <t>Value per</t>
  </si>
  <si>
    <t>Families</t>
  </si>
  <si>
    <t>Phyla</t>
  </si>
  <si>
    <t>Type (e.g. DNA/RNA)</t>
  </si>
  <si>
    <t>Kingdoms</t>
  </si>
  <si>
    <t>Cumlative probability not discounted</t>
  </si>
  <si>
    <t>Damage if occurred (equiv species)</t>
  </si>
  <si>
    <t>Expected damage (equiv species)</t>
  </si>
  <si>
    <t>Superbacteria (not pathogenic)</t>
  </si>
  <si>
    <t>Look out years</t>
  </si>
  <si>
    <t>Orders</t>
  </si>
  <si>
    <t>Classes</t>
  </si>
  <si>
    <t>Total biodiversity (equiv species)</t>
  </si>
  <si>
    <t>Reducing suffering (negative utilitarian)</t>
  </si>
  <si>
    <t>species saved/ $ mn</t>
  </si>
  <si>
    <t>Increasing welfare (positive utilititarian)</t>
  </si>
  <si>
    <t>Economic value (typical person valuation of suffering and species, maximize average happiness)</t>
  </si>
  <si>
    <t>Positive singularity (solution)</t>
  </si>
  <si>
    <t>Non-bacteria species</t>
  </si>
  <si>
    <t>Other perspectives</t>
  </si>
  <si>
    <t>Free market fundamentalists (market will take care of it/ charity is wrong)</t>
  </si>
  <si>
    <t>Extreme religion: Armageddon is good because believers get to go to heaven sooner</t>
  </si>
  <si>
    <t>Much religion: afterlife is more important, so don't worry too much about this life</t>
  </si>
  <si>
    <t>Buddism/eastern religion: improve yourself, don't worry about others</t>
  </si>
  <si>
    <t>Much religion: help out poor people, but they are not into quantifying cost-effectiveness</t>
  </si>
  <si>
    <t xml:space="preserve"> like global charity being much more cost-effective than rich country charity: warm fuzzies</t>
  </si>
  <si>
    <t>Upper-class spend on self</t>
  </si>
  <si>
    <t>Upper-upper class spend on self</t>
  </si>
  <si>
    <t>Upper-upper-upper class spend on self</t>
  </si>
  <si>
    <t>Upper-upper-upper-upper class spend on self</t>
  </si>
  <si>
    <t>Upper-upper-upper-upper-upper class spend on self</t>
  </si>
  <si>
    <t xml:space="preserve">deontologist: moral principles are a product of reason, not based on outcome: don't care about </t>
  </si>
  <si>
    <t>cost effectiveness; good intentions; warm fuzzies</t>
  </si>
  <si>
    <t>Equivalent human suffering years</t>
  </si>
  <si>
    <t>Damage if occurred</t>
  </si>
  <si>
    <t>Cancer</t>
  </si>
  <si>
    <t>Aging</t>
  </si>
  <si>
    <t># rich ppl</t>
  </si>
  <si>
    <t># poor ppl</t>
  </si>
  <si>
    <t># mammals</t>
  </si>
  <si>
    <t>human equiv mammal</t>
  </si>
  <si>
    <t># vert non mammal</t>
  </si>
  <si>
    <t>human equiv vert non mammal</t>
  </si>
  <si>
    <t># invertebrate</t>
  </si>
  <si>
    <t>human equiv invertebrate</t>
  </si>
  <si>
    <t>Value of church charity is infinite because it saves people from hell</t>
  </si>
  <si>
    <t>Supposedly we could do this without extinctions</t>
  </si>
  <si>
    <t>Expected damage</t>
  </si>
  <si>
    <t>Equiv human suffering yr avoided/ $ mn</t>
  </si>
  <si>
    <t>By brain size</t>
  </si>
  <si>
    <t>Subtotal equiv</t>
  </si>
  <si>
    <t>Earth equiv humans now</t>
  </si>
  <si>
    <t>Gradients in bliss in humans (solution)</t>
  </si>
  <si>
    <t>Gradients in bliss in animals (solution)</t>
  </si>
  <si>
    <t>Cryonics (freezing people) (solution)</t>
  </si>
  <si>
    <t>1000 person space ark (solution)</t>
  </si>
  <si>
    <t>Freeing poor country slaves</t>
  </si>
  <si>
    <t>Rich country minorities</t>
  </si>
  <si>
    <t>1000 person earth ark (solution)</t>
  </si>
  <si>
    <t>Something unforeseen</t>
  </si>
  <si>
    <t>Surveillance</t>
  </si>
  <si>
    <t>International cooperation</t>
  </si>
  <si>
    <t>Cultivating democracy</t>
  </si>
  <si>
    <t>Physics disaster watchdog (solution)</t>
  </si>
  <si>
    <t>Other possible solutions to existential risks</t>
  </si>
  <si>
    <t>Consumption ($/yr)</t>
  </si>
  <si>
    <t>Red are uncertainties &gt;+/- 10 orders of magnitude</t>
  </si>
  <si>
    <t>Grey are uncertainties &gt;+/- 1 order of magnitude</t>
  </si>
  <si>
    <t># stars in galaxy</t>
  </si>
  <si>
    <t>life of stars (yr)</t>
  </si>
  <si>
    <t># computer consciousnesses per human w/ same energy</t>
  </si>
  <si>
    <t>Probability computer consciousness</t>
  </si>
  <si>
    <t>Probability Dyson sphere</t>
  </si>
  <si>
    <t>Probability expand galaxy</t>
  </si>
  <si>
    <t>Dyson sphere earth ratio</t>
  </si>
  <si>
    <t>Current % suffering of animals</t>
  </si>
  <si>
    <t>Current % suffering of humans</t>
  </si>
  <si>
    <t>Regardless of your perspective, if we do not destroy ourselves, there will be a huge number</t>
  </si>
  <si>
    <t xml:space="preserve"> of future consciousnesses so highest priority risks are those that would cause extinction</t>
  </si>
  <si>
    <t>Expected suffering of negative singularity</t>
  </si>
  <si>
    <t>Expected suffering of positive singularity</t>
  </si>
  <si>
    <t>Expected future consciousness years</t>
  </si>
  <si>
    <t>Expected human years</t>
  </si>
  <si>
    <t>Multiplier for loss if human extinction vs most people dying</t>
  </si>
  <si>
    <t>Equiv human utility yr gained/ $ mn</t>
  </si>
  <si>
    <t># farm animal yr/human yr</t>
  </si>
  <si>
    <t>Gradients in bliss in computer consciousnesses (solution)</t>
  </si>
  <si>
    <t>Singularity delay if 1000 ppl remain (yr)</t>
  </si>
  <si>
    <t>Discount rate for recovery</t>
  </si>
  <si>
    <t>Exponent for benefit/cost with effort</t>
  </si>
</sst>
</file>

<file path=xl/styles.xml><?xml version="1.0" encoding="utf-8"?>
<styleSheet xmlns="http://schemas.openxmlformats.org/spreadsheetml/2006/main">
  <numFmts count="16">
    <numFmt numFmtId="6" formatCode="&quot;$&quot;#,##0_);[Red]\(&quot;$&quot;#,##0\)"/>
    <numFmt numFmtId="8" formatCode="&quot;$&quot;#,##0.00_);[Red]\(&quot;$&quot;#,##0.00\)"/>
    <numFmt numFmtId="164" formatCode="&quot;$&quot;#,##0.0000_);[Red]\(&quot;$&quot;#,##0.0000\)"/>
    <numFmt numFmtId="165" formatCode="0.0"/>
    <numFmt numFmtId="166" formatCode="0.000%"/>
    <numFmt numFmtId="167" formatCode="&quot;$&quot;#,##0"/>
    <numFmt numFmtId="168" formatCode="0.00000000%"/>
    <numFmt numFmtId="169" formatCode="0.000"/>
    <numFmt numFmtId="170" formatCode="0.0000"/>
    <numFmt numFmtId="171" formatCode="0.E+00"/>
    <numFmt numFmtId="172" formatCode="0.0E+00"/>
    <numFmt numFmtId="173" formatCode="0.0%"/>
    <numFmt numFmtId="174" formatCode="0.0000%"/>
    <numFmt numFmtId="175" formatCode="0.00000%"/>
    <numFmt numFmtId="176" formatCode="0.000000%"/>
    <numFmt numFmtId="177" formatCode="0E+00"/>
  </numFmts>
  <fonts count="20">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sz val="9"/>
      <color indexed="81"/>
      <name val="Tahoma"/>
      <charset val="1"/>
    </font>
    <font>
      <b/>
      <sz val="9"/>
      <color indexed="81"/>
      <name val="Tahoma"/>
      <charset val="1"/>
    </font>
    <font>
      <sz val="11"/>
      <color rgb="FF000000"/>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sz val="11"/>
      <color theme="1"/>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i/>
      <sz val="11"/>
      <color rgb="FFFF0000"/>
      <name val="Calibri"/>
      <family val="2"/>
      <scheme val="minor"/>
    </font>
    <font>
      <sz val="11"/>
      <name val="Calibri"/>
      <family val="2"/>
      <scheme val="minor"/>
    </font>
    <font>
      <b/>
      <sz val="11"/>
      <color rgb="FF000000"/>
      <name val="Calibri"/>
      <family val="2"/>
      <scheme val="minor"/>
    </font>
    <font>
      <b/>
      <sz val="16"/>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1" fillId="0" borderId="0" applyFont="0" applyFill="0" applyBorder="0" applyAlignment="0" applyProtection="0"/>
  </cellStyleXfs>
  <cellXfs count="88">
    <xf numFmtId="0" fontId="0" fillId="0" borderId="0" xfId="0"/>
    <xf numFmtId="0" fontId="1" fillId="0" borderId="0" xfId="0" applyFont="1"/>
    <xf numFmtId="6" fontId="1" fillId="0" borderId="0" xfId="0" applyNumberFormat="1" applyFont="1"/>
    <xf numFmtId="3" fontId="1" fillId="0" borderId="0" xfId="0" applyNumberFormat="1" applyFont="1"/>
    <xf numFmtId="9" fontId="1" fillId="0" borderId="0" xfId="0" applyNumberFormat="1" applyFont="1"/>
    <xf numFmtId="164" fontId="1" fillId="0" borderId="0" xfId="0" applyNumberFormat="1" applyFont="1"/>
    <xf numFmtId="8" fontId="1" fillId="0" borderId="0" xfId="0" applyNumberFormat="1" applyFont="1"/>
    <xf numFmtId="1" fontId="0" fillId="0" borderId="0" xfId="0" applyNumberFormat="1"/>
    <xf numFmtId="10" fontId="1" fillId="0" borderId="0" xfId="0" applyNumberFormat="1" applyFont="1"/>
    <xf numFmtId="166" fontId="1" fillId="0" borderId="0" xfId="0" applyNumberFormat="1" applyFont="1"/>
    <xf numFmtId="0" fontId="0" fillId="0" borderId="0" xfId="0" applyFont="1"/>
    <xf numFmtId="165" fontId="1" fillId="0" borderId="0" xfId="0" applyNumberFormat="1" applyFont="1"/>
    <xf numFmtId="1" fontId="1" fillId="0" borderId="0" xfId="0" applyNumberFormat="1" applyFont="1"/>
    <xf numFmtId="167" fontId="1" fillId="0" borderId="0" xfId="0" applyNumberFormat="1" applyFont="1"/>
    <xf numFmtId="169" fontId="0" fillId="0" borderId="0" xfId="0" applyNumberFormat="1"/>
    <xf numFmtId="2" fontId="0" fillId="0" borderId="0" xfId="0" applyNumberFormat="1"/>
    <xf numFmtId="0" fontId="0" fillId="0" borderId="0" xfId="0" applyAlignment="1">
      <alignment wrapText="1"/>
    </xf>
    <xf numFmtId="11" fontId="0" fillId="0" borderId="0" xfId="0" applyNumberFormat="1"/>
    <xf numFmtId="165" fontId="0" fillId="0" borderId="0" xfId="0" applyNumberFormat="1"/>
    <xf numFmtId="170" fontId="0" fillId="0" borderId="0" xfId="0" applyNumberFormat="1"/>
    <xf numFmtId="11" fontId="1" fillId="0" borderId="0" xfId="0" applyNumberFormat="1" applyFont="1"/>
    <xf numFmtId="172" fontId="0" fillId="0" borderId="0" xfId="0" applyNumberFormat="1"/>
    <xf numFmtId="0" fontId="7" fillId="0" borderId="0" xfId="0" applyFont="1"/>
    <xf numFmtId="6" fontId="0" fillId="0" borderId="0" xfId="0" applyNumberFormat="1"/>
    <xf numFmtId="9" fontId="0" fillId="0" borderId="0" xfId="0" applyNumberFormat="1"/>
    <xf numFmtId="173" fontId="0" fillId="0" borderId="0" xfId="0" applyNumberFormat="1"/>
    <xf numFmtId="0" fontId="9" fillId="0" borderId="0" xfId="0" applyFont="1"/>
    <xf numFmtId="0" fontId="8" fillId="0" borderId="0" xfId="0" applyFont="1"/>
    <xf numFmtId="1" fontId="10" fillId="0" borderId="0" xfId="0" applyNumberFormat="1" applyFont="1"/>
    <xf numFmtId="171" fontId="10" fillId="0" borderId="0" xfId="0" applyNumberFormat="1" applyFont="1"/>
    <xf numFmtId="1" fontId="9" fillId="0" borderId="0" xfId="0" applyNumberFormat="1" applyFont="1"/>
    <xf numFmtId="164" fontId="8" fillId="0" borderId="0" xfId="0" applyNumberFormat="1" applyFont="1"/>
    <xf numFmtId="8" fontId="8" fillId="0" borderId="0" xfId="0" applyNumberFormat="1" applyFont="1"/>
    <xf numFmtId="11" fontId="8" fillId="0" borderId="0" xfId="0" applyNumberFormat="1" applyFont="1"/>
    <xf numFmtId="11" fontId="9" fillId="0" borderId="0" xfId="0" applyNumberFormat="1" applyFont="1"/>
    <xf numFmtId="172" fontId="10" fillId="0" borderId="0" xfId="0" applyNumberFormat="1" applyFont="1"/>
    <xf numFmtId="172" fontId="9" fillId="0" borderId="0" xfId="0" applyNumberFormat="1" applyFont="1"/>
    <xf numFmtId="171" fontId="9" fillId="0" borderId="0" xfId="0" applyNumberFormat="1" applyFont="1"/>
    <xf numFmtId="6" fontId="9" fillId="0" borderId="0" xfId="0" applyNumberFormat="1" applyFont="1"/>
    <xf numFmtId="6" fontId="8" fillId="0" borderId="0" xfId="0" applyNumberFormat="1" applyFont="1"/>
    <xf numFmtId="2" fontId="9" fillId="0" borderId="0" xfId="0" applyNumberFormat="1" applyFont="1"/>
    <xf numFmtId="171" fontId="1" fillId="0" borderId="0" xfId="0" applyNumberFormat="1" applyFont="1"/>
    <xf numFmtId="171" fontId="0" fillId="0" borderId="0" xfId="0" applyNumberFormat="1"/>
    <xf numFmtId="171" fontId="8" fillId="0" borderId="0" xfId="0" applyNumberFormat="1" applyFont="1"/>
    <xf numFmtId="165" fontId="9" fillId="0" borderId="0" xfId="0" applyNumberFormat="1" applyFont="1"/>
    <xf numFmtId="1" fontId="4" fillId="0" borderId="0" xfId="0" applyNumberFormat="1" applyFont="1"/>
    <xf numFmtId="3" fontId="0" fillId="0" borderId="0" xfId="0" applyNumberFormat="1"/>
    <xf numFmtId="177" fontId="9" fillId="0" borderId="0" xfId="0" applyNumberFormat="1" applyFont="1"/>
    <xf numFmtId="3" fontId="9" fillId="0" borderId="0" xfId="0" applyNumberFormat="1" applyFont="1"/>
    <xf numFmtId="0" fontId="13" fillId="0" borderId="0" xfId="0" applyFont="1"/>
    <xf numFmtId="173" fontId="1" fillId="0" borderId="0" xfId="1" applyNumberFormat="1" applyFont="1"/>
    <xf numFmtId="166" fontId="1" fillId="0" borderId="0" xfId="1" applyNumberFormat="1" applyFont="1"/>
    <xf numFmtId="174" fontId="1" fillId="0" borderId="0" xfId="1" applyNumberFormat="1" applyFont="1"/>
    <xf numFmtId="175" fontId="1" fillId="0" borderId="0" xfId="1" applyNumberFormat="1" applyFont="1"/>
    <xf numFmtId="174" fontId="8" fillId="0" borderId="0" xfId="1" applyNumberFormat="1" applyFont="1"/>
    <xf numFmtId="175" fontId="8" fillId="0" borderId="0" xfId="1" applyNumberFormat="1" applyFont="1"/>
    <xf numFmtId="176" fontId="8" fillId="0" borderId="0" xfId="1" applyNumberFormat="1" applyFont="1"/>
    <xf numFmtId="168" fontId="1" fillId="0" borderId="0" xfId="1" applyNumberFormat="1" applyFont="1"/>
    <xf numFmtId="174" fontId="8" fillId="0" borderId="0" xfId="0" applyNumberFormat="1" applyFont="1"/>
    <xf numFmtId="175" fontId="8" fillId="0" borderId="0" xfId="0" applyNumberFormat="1" applyFont="1"/>
    <xf numFmtId="0" fontId="12" fillId="0" borderId="0" xfId="0" applyFont="1"/>
    <xf numFmtId="0" fontId="14" fillId="0" borderId="0" xfId="0" applyFont="1"/>
    <xf numFmtId="0" fontId="15" fillId="0" borderId="0" xfId="0" applyFont="1"/>
    <xf numFmtId="171" fontId="14" fillId="0" borderId="0" xfId="0" applyNumberFormat="1" applyFont="1"/>
    <xf numFmtId="171" fontId="12" fillId="0" borderId="0" xfId="0" applyNumberFormat="1" applyFont="1"/>
    <xf numFmtId="11" fontId="14" fillId="0" borderId="0" xfId="0" applyNumberFormat="1" applyFont="1"/>
    <xf numFmtId="11" fontId="12" fillId="0" borderId="0" xfId="0" applyNumberFormat="1" applyFont="1"/>
    <xf numFmtId="172" fontId="15" fillId="0" borderId="0" xfId="0" applyNumberFormat="1" applyFont="1"/>
    <xf numFmtId="172" fontId="12" fillId="0" borderId="0" xfId="0" applyNumberFormat="1" applyFont="1"/>
    <xf numFmtId="174" fontId="0" fillId="0" borderId="0" xfId="1" applyNumberFormat="1" applyFont="1"/>
    <xf numFmtId="175" fontId="0" fillId="0" borderId="0" xfId="1" applyNumberFormat="1" applyFont="1"/>
    <xf numFmtId="176" fontId="0" fillId="0" borderId="0" xfId="1" applyNumberFormat="1" applyFont="1"/>
    <xf numFmtId="9" fontId="0" fillId="0" borderId="0" xfId="1" applyNumberFormat="1" applyFont="1"/>
    <xf numFmtId="171" fontId="15" fillId="0" borderId="0" xfId="0" applyNumberFormat="1" applyFont="1"/>
    <xf numFmtId="9" fontId="9" fillId="0" borderId="0" xfId="1" applyNumberFormat="1" applyFont="1"/>
    <xf numFmtId="173" fontId="9" fillId="0" borderId="0" xfId="1" applyNumberFormat="1" applyFont="1"/>
    <xf numFmtId="173" fontId="9" fillId="0" borderId="0" xfId="0" applyNumberFormat="1" applyFont="1"/>
    <xf numFmtId="9" fontId="9" fillId="0" borderId="0" xfId="0" applyNumberFormat="1" applyFont="1"/>
    <xf numFmtId="9" fontId="8" fillId="0" borderId="0" xfId="1" applyNumberFormat="1" applyFont="1"/>
    <xf numFmtId="177" fontId="8" fillId="0" borderId="0" xfId="0" applyNumberFormat="1" applyFont="1"/>
    <xf numFmtId="38" fontId="0" fillId="0" borderId="0" xfId="0" applyNumberFormat="1"/>
    <xf numFmtId="177" fontId="12" fillId="0" borderId="0" xfId="0" applyNumberFormat="1" applyFont="1"/>
    <xf numFmtId="2" fontId="12" fillId="0" borderId="0" xfId="0" applyNumberFormat="1" applyFont="1"/>
    <xf numFmtId="11" fontId="16" fillId="0" borderId="0" xfId="0" applyNumberFormat="1" applyFont="1"/>
    <xf numFmtId="0" fontId="1" fillId="0" borderId="0" xfId="0" applyFont="1" applyAlignment="1">
      <alignment wrapText="1"/>
    </xf>
    <xf numFmtId="0" fontId="17" fillId="0" borderId="0" xfId="0" applyFont="1"/>
    <xf numFmtId="0" fontId="18" fillId="0" borderId="0" xfId="0" applyFont="1"/>
    <xf numFmtId="0" fontId="19" fillId="0" borderId="0" xfId="0" applyFont="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62"/>
  <sheetViews>
    <sheetView tabSelected="1" workbookViewId="0">
      <pane xSplit="1" ySplit="10" topLeftCell="B52" activePane="bottomRight" state="frozen"/>
      <selection pane="topRight" activeCell="B1" sqref="B1"/>
      <selection pane="bottomLeft" activeCell="A10" sqref="A10"/>
      <selection pane="bottomRight" activeCell="C62" sqref="C62"/>
    </sheetView>
  </sheetViews>
  <sheetFormatPr defaultRowHeight="15"/>
  <cols>
    <col min="1" max="1" width="25.85546875" customWidth="1"/>
    <col min="2" max="2" width="14.140625" customWidth="1"/>
    <col min="3" max="3" width="15.85546875" customWidth="1"/>
    <col min="4" max="4" width="13.140625" customWidth="1"/>
    <col min="5" max="5" width="11.5703125" customWidth="1"/>
    <col min="6" max="6" width="11.85546875" customWidth="1"/>
    <col min="7" max="7" width="13.140625" customWidth="1"/>
    <col min="10" max="10" width="15.140625" customWidth="1"/>
    <col min="11" max="11" width="14" customWidth="1"/>
    <col min="12" max="12" width="14.28515625" customWidth="1"/>
    <col min="13" max="13" width="9.5703125" bestFit="1" customWidth="1"/>
    <col min="14" max="14" width="9.42578125" customWidth="1"/>
    <col min="21" max="21" width="14.28515625" customWidth="1"/>
    <col min="22" max="22" width="14.85546875" customWidth="1"/>
    <col min="23" max="23" width="15.140625" customWidth="1"/>
    <col min="25" max="25" width="14" customWidth="1"/>
    <col min="28" max="28" width="11.28515625" customWidth="1"/>
    <col min="29" max="29" width="14" customWidth="1"/>
    <col min="32" max="33" width="20.140625" customWidth="1"/>
  </cols>
  <sheetData>
    <row r="1" spans="1:35" ht="21">
      <c r="A1" s="86" t="s">
        <v>0</v>
      </c>
      <c r="G1" s="49" t="s">
        <v>119</v>
      </c>
      <c r="K1" t="s">
        <v>115</v>
      </c>
      <c r="L1" t="s">
        <v>116</v>
      </c>
      <c r="N1" t="s">
        <v>117</v>
      </c>
    </row>
    <row r="2" spans="1:35" ht="18.75">
      <c r="A2" t="s">
        <v>11</v>
      </c>
      <c r="B2" s="26" t="s">
        <v>122</v>
      </c>
      <c r="E2" s="60" t="s">
        <v>121</v>
      </c>
      <c r="J2" s="87" t="s">
        <v>51</v>
      </c>
      <c r="N2" s="1" t="s">
        <v>64</v>
      </c>
      <c r="P2" s="1">
        <v>300</v>
      </c>
      <c r="U2" s="87" t="s">
        <v>68</v>
      </c>
      <c r="AB2" s="87" t="s">
        <v>70</v>
      </c>
      <c r="AI2" s="87" t="s">
        <v>74</v>
      </c>
    </row>
    <row r="3" spans="1:35" ht="18.75">
      <c r="A3" s="87" t="s">
        <v>71</v>
      </c>
      <c r="L3" t="s">
        <v>53</v>
      </c>
      <c r="M3" t="s">
        <v>55</v>
      </c>
      <c r="N3" t="s">
        <v>54</v>
      </c>
      <c r="Q3" t="s">
        <v>53</v>
      </c>
      <c r="R3" t="s">
        <v>55</v>
      </c>
      <c r="S3" t="s">
        <v>54</v>
      </c>
      <c r="U3" t="s">
        <v>88</v>
      </c>
      <c r="Y3" t="s">
        <v>104</v>
      </c>
      <c r="Z3" t="s">
        <v>105</v>
      </c>
      <c r="AB3" s="22" t="s">
        <v>132</v>
      </c>
      <c r="AH3">
        <v>1</v>
      </c>
      <c r="AI3" t="s">
        <v>75</v>
      </c>
    </row>
    <row r="4" spans="1:35">
      <c r="A4" t="s">
        <v>1</v>
      </c>
      <c r="B4" s="2">
        <v>5000000</v>
      </c>
      <c r="C4" t="s">
        <v>92</v>
      </c>
      <c r="D4" s="1">
        <v>1000000000</v>
      </c>
      <c r="F4" t="s">
        <v>7</v>
      </c>
      <c r="H4" s="4">
        <v>0.03</v>
      </c>
      <c r="I4" s="1"/>
      <c r="J4" t="s">
        <v>73</v>
      </c>
      <c r="L4" s="3">
        <v>30000000</v>
      </c>
      <c r="M4" s="1">
        <v>1</v>
      </c>
      <c r="N4">
        <f>L4*M4</f>
        <v>30000000</v>
      </c>
      <c r="O4" t="s">
        <v>57</v>
      </c>
      <c r="Q4" s="1">
        <v>88</v>
      </c>
      <c r="R4" s="1">
        <v>100000</v>
      </c>
      <c r="S4">
        <f>Q4*R4</f>
        <v>8800000</v>
      </c>
      <c r="U4" t="s">
        <v>94</v>
      </c>
      <c r="V4" s="34">
        <v>100000000000</v>
      </c>
      <c r="W4" t="s">
        <v>95</v>
      </c>
      <c r="Y4" s="26">
        <f>0.2*0.1/3</f>
        <v>6.666666666666668E-3</v>
      </c>
      <c r="Z4" s="34">
        <f>V4*Y4</f>
        <v>666666666.66666675</v>
      </c>
      <c r="AA4" s="17"/>
      <c r="AB4" s="22" t="s">
        <v>133</v>
      </c>
      <c r="AH4">
        <v>2</v>
      </c>
      <c r="AI4" t="s">
        <v>76</v>
      </c>
    </row>
    <row r="5" spans="1:35">
      <c r="A5" t="s">
        <v>2</v>
      </c>
      <c r="B5" s="2">
        <v>10000</v>
      </c>
      <c r="C5" t="s">
        <v>93</v>
      </c>
      <c r="D5" s="1">
        <v>6000000000</v>
      </c>
      <c r="F5" t="s">
        <v>8</v>
      </c>
      <c r="H5" s="4">
        <v>0.05</v>
      </c>
      <c r="J5" t="s">
        <v>52</v>
      </c>
      <c r="L5" s="1">
        <v>100000</v>
      </c>
      <c r="M5" s="1">
        <v>10</v>
      </c>
      <c r="N5">
        <f>L5*M5</f>
        <v>1000000</v>
      </c>
      <c r="O5" t="s">
        <v>59</v>
      </c>
      <c r="Q5" s="1">
        <v>5</v>
      </c>
      <c r="R5" s="1">
        <v>1000000</v>
      </c>
      <c r="S5">
        <f>Q5*R5</f>
        <v>5000000</v>
      </c>
      <c r="U5" t="s">
        <v>96</v>
      </c>
      <c r="V5" s="34">
        <v>100000000000000</v>
      </c>
      <c r="W5" t="s">
        <v>97</v>
      </c>
      <c r="Y5" s="26">
        <f>0.002*0.01/3</f>
        <v>6.6666666666666675E-6</v>
      </c>
      <c r="Z5" s="34">
        <f>V5*Y5</f>
        <v>666666666.66666675</v>
      </c>
      <c r="AA5" s="17"/>
      <c r="AB5" t="s">
        <v>140</v>
      </c>
      <c r="AD5">
        <v>0.5</v>
      </c>
      <c r="AE5" t="s">
        <v>130</v>
      </c>
      <c r="AG5" s="4">
        <v>0.5</v>
      </c>
      <c r="AH5">
        <v>3</v>
      </c>
      <c r="AI5" t="s">
        <v>77</v>
      </c>
    </row>
    <row r="6" spans="1:35">
      <c r="A6" t="s">
        <v>3</v>
      </c>
      <c r="C6" s="2">
        <v>1000000</v>
      </c>
      <c r="F6" t="s">
        <v>9</v>
      </c>
      <c r="H6" s="4">
        <f>H5-H4</f>
        <v>2.0000000000000004E-2</v>
      </c>
      <c r="J6" t="s">
        <v>56</v>
      </c>
      <c r="L6" s="1">
        <v>5000</v>
      </c>
      <c r="M6" s="1">
        <v>100</v>
      </c>
      <c r="N6">
        <f>L6*M6</f>
        <v>500000</v>
      </c>
      <c r="O6" t="s">
        <v>58</v>
      </c>
      <c r="Q6" s="1">
        <v>1</v>
      </c>
      <c r="R6" s="1">
        <v>10000000</v>
      </c>
      <c r="S6">
        <f>Q6*R6</f>
        <v>10000000</v>
      </c>
      <c r="U6" t="s">
        <v>98</v>
      </c>
      <c r="V6" s="17">
        <v>1E+18</v>
      </c>
      <c r="W6" t="s">
        <v>99</v>
      </c>
      <c r="Y6" s="34">
        <f>0.000001*0.001/3</f>
        <v>3.3333333333333337E-10</v>
      </c>
      <c r="Z6" s="34">
        <f>V6*Y6</f>
        <v>333333333.33333337</v>
      </c>
      <c r="AA6" s="17"/>
      <c r="AB6" s="22" t="s">
        <v>137</v>
      </c>
      <c r="AD6" s="17">
        <f>(D4+D5)*(AD7*AA9*AD9*AA8*AD8)</f>
        <v>3.4999999999999998E+36</v>
      </c>
      <c r="AE6" t="s">
        <v>131</v>
      </c>
      <c r="AG6" s="4">
        <v>0.1</v>
      </c>
      <c r="AH6">
        <v>4</v>
      </c>
      <c r="AI6" t="s">
        <v>78</v>
      </c>
    </row>
    <row r="7" spans="1:35">
      <c r="A7" t="s">
        <v>4</v>
      </c>
      <c r="C7" s="3">
        <v>30000000</v>
      </c>
      <c r="D7" t="s">
        <v>21</v>
      </c>
      <c r="E7" s="1">
        <v>50</v>
      </c>
      <c r="F7" t="s">
        <v>10</v>
      </c>
      <c r="H7" s="1">
        <f>1/H6</f>
        <v>49.999999999999993</v>
      </c>
      <c r="J7" t="s">
        <v>65</v>
      </c>
      <c r="L7" s="1">
        <v>1500</v>
      </c>
      <c r="M7" s="1">
        <v>1000</v>
      </c>
      <c r="N7">
        <f>L7*M7</f>
        <v>1500000</v>
      </c>
      <c r="U7" t="s">
        <v>106</v>
      </c>
      <c r="W7" s="17">
        <f>D4+D5+V4*Y4+V5*Y5+V6*Y6</f>
        <v>8666666666.6666679</v>
      </c>
      <c r="Y7" t="s">
        <v>126</v>
      </c>
      <c r="AA7" s="4">
        <v>0.01</v>
      </c>
      <c r="AB7" s="22" t="s">
        <v>123</v>
      </c>
      <c r="AD7" s="20">
        <v>100000000000</v>
      </c>
      <c r="AE7" t="s">
        <v>134</v>
      </c>
      <c r="AG7" s="4">
        <v>0.1</v>
      </c>
      <c r="AH7">
        <v>5</v>
      </c>
      <c r="AI7" s="22" t="s">
        <v>79</v>
      </c>
    </row>
    <row r="8" spans="1:35">
      <c r="A8" t="s">
        <v>138</v>
      </c>
      <c r="D8" s="79">
        <f>X8*AA7*AD9*AA8</f>
        <v>1E+22</v>
      </c>
      <c r="E8" t="s">
        <v>144</v>
      </c>
      <c r="H8" s="1">
        <v>1</v>
      </c>
      <c r="J8" t="s">
        <v>66</v>
      </c>
      <c r="L8" s="1">
        <v>400</v>
      </c>
      <c r="M8" s="1">
        <v>10000</v>
      </c>
      <c r="N8">
        <f>L8*M8</f>
        <v>4000000</v>
      </c>
      <c r="O8" t="s">
        <v>67</v>
      </c>
      <c r="S8">
        <f>SUM(N4:N8,S4:S6)</f>
        <v>60800000</v>
      </c>
      <c r="U8" t="s">
        <v>125</v>
      </c>
      <c r="X8" s="43">
        <f>1E+35/10000000000000000000</f>
        <v>1E+16</v>
      </c>
      <c r="Y8" t="s">
        <v>127</v>
      </c>
      <c r="AA8" s="4">
        <v>0.1</v>
      </c>
      <c r="AB8" s="22" t="s">
        <v>124</v>
      </c>
      <c r="AD8" s="20">
        <v>5000000000</v>
      </c>
      <c r="AE8" t="s">
        <v>135</v>
      </c>
      <c r="AG8" s="4">
        <v>0.01</v>
      </c>
      <c r="AI8" t="s">
        <v>80</v>
      </c>
    </row>
    <row r="9" spans="1:35">
      <c r="A9" t="s">
        <v>142</v>
      </c>
      <c r="C9" s="1">
        <v>500</v>
      </c>
      <c r="D9" s="83" t="s">
        <v>143</v>
      </c>
      <c r="F9" s="4">
        <v>0.05</v>
      </c>
      <c r="L9" s="1"/>
      <c r="M9" s="1"/>
      <c r="U9" t="s">
        <v>136</v>
      </c>
      <c r="X9" s="37">
        <f>(D4+D5)*(X8*AA7*AD7*AA9*AD9*AA8*AD8)</f>
        <v>3.5000000000000001E+50</v>
      </c>
      <c r="Y9" t="s">
        <v>128</v>
      </c>
      <c r="AA9" s="4">
        <v>0.01</v>
      </c>
      <c r="AB9" s="22" t="s">
        <v>129</v>
      </c>
      <c r="AD9" s="20">
        <v>1000000000</v>
      </c>
      <c r="AH9">
        <v>6</v>
      </c>
      <c r="AI9" t="s">
        <v>86</v>
      </c>
    </row>
    <row r="10" spans="1:35" ht="50.25" customHeight="1">
      <c r="A10" s="1" t="s">
        <v>5</v>
      </c>
      <c r="B10" s="16" t="s">
        <v>13</v>
      </c>
      <c r="C10" s="16" t="s">
        <v>6</v>
      </c>
      <c r="D10" s="16" t="s">
        <v>14</v>
      </c>
      <c r="E10" s="16" t="s">
        <v>15</v>
      </c>
      <c r="F10" s="84" t="s">
        <v>27</v>
      </c>
      <c r="G10" s="16" t="s">
        <v>120</v>
      </c>
      <c r="H10" s="16" t="s">
        <v>34</v>
      </c>
      <c r="I10" s="16"/>
      <c r="J10" s="16" t="s">
        <v>61</v>
      </c>
      <c r="K10" s="16" t="s">
        <v>60</v>
      </c>
      <c r="L10" s="16" t="s">
        <v>62</v>
      </c>
      <c r="M10" s="16" t="s">
        <v>15</v>
      </c>
      <c r="N10" s="84" t="s">
        <v>69</v>
      </c>
      <c r="U10" s="16" t="s">
        <v>89</v>
      </c>
      <c r="V10" s="16" t="s">
        <v>60</v>
      </c>
      <c r="W10" s="16" t="s">
        <v>102</v>
      </c>
      <c r="X10" s="16" t="s">
        <v>15</v>
      </c>
      <c r="Y10" s="84" t="s">
        <v>103</v>
      </c>
      <c r="AB10" s="16" t="s">
        <v>89</v>
      </c>
      <c r="AC10" s="16" t="s">
        <v>60</v>
      </c>
      <c r="AD10" s="16" t="s">
        <v>102</v>
      </c>
      <c r="AE10" s="16" t="s">
        <v>15</v>
      </c>
      <c r="AF10" s="84" t="s">
        <v>139</v>
      </c>
      <c r="AG10" s="16"/>
      <c r="AI10" t="s">
        <v>87</v>
      </c>
    </row>
    <row r="11" spans="1:35">
      <c r="A11" s="1" t="s">
        <v>12</v>
      </c>
      <c r="B11" s="61">
        <f>10^100</f>
        <v>1E+100</v>
      </c>
      <c r="C11" s="53">
        <f>1/50000000*H7/10</f>
        <v>9.9999999999999995E-8</v>
      </c>
      <c r="D11" s="60">
        <f>B11*C11</f>
        <v>9.9999999999999993E+92</v>
      </c>
      <c r="E11" s="27">
        <v>1E-3</v>
      </c>
      <c r="F11" s="62">
        <f>D11/D$26*(E$26/E11)^H$8*F$26</f>
        <v>1.9999999999999998E+97</v>
      </c>
      <c r="J11" s="65">
        <f>S8*B11/B12</f>
        <v>1.1952034597994889E+80</v>
      </c>
      <c r="K11" s="53">
        <f>C11*P2/H7</f>
        <v>6.0000000000000008E-7</v>
      </c>
      <c r="L11" s="66">
        <f>J11*K11</f>
        <v>7.1712207587969339E+73</v>
      </c>
      <c r="M11" s="27">
        <f>E11</f>
        <v>1E-3</v>
      </c>
      <c r="N11" s="67">
        <f>1/(N$30/L11*L$30*(M11/M$30)^H8)</f>
        <v>1.4342441517593866E+72</v>
      </c>
      <c r="U11" s="68">
        <f>-B11/B21*W7*AG7</f>
        <v>-1.7026850032743944E+83</v>
      </c>
      <c r="V11" s="71">
        <f>K11</f>
        <v>6.0000000000000008E-7</v>
      </c>
      <c r="W11" s="66">
        <f>U11*V11</f>
        <v>-1.0216110019646367E+77</v>
      </c>
      <c r="X11">
        <f>E11</f>
        <v>1E-3</v>
      </c>
      <c r="Y11" s="81">
        <f>Y$43*(X$43/X11)^H8*W11/W$43</f>
        <v>-9.7296285901393971E+66</v>
      </c>
      <c r="AB11" s="68">
        <f>B11/B21*W7*0.9</f>
        <v>1.532416502946955E+84</v>
      </c>
      <c r="AC11">
        <f>V11</f>
        <v>6.0000000000000008E-7</v>
      </c>
      <c r="AD11" s="68">
        <f>AB11*AC11</f>
        <v>9.194499017681731E+77</v>
      </c>
      <c r="AE11">
        <f>E11</f>
        <v>1E-3</v>
      </c>
      <c r="AF11" s="81">
        <f>AF$43*(AE$43/AE11)^H8*AD11/AD$43</f>
        <v>8.7566657311254577E+67</v>
      </c>
      <c r="AG11" s="60"/>
    </row>
    <row r="12" spans="1:35">
      <c r="A12" s="1" t="s">
        <v>16</v>
      </c>
      <c r="B12" s="43">
        <f>(D4*B4+D5*B5+C7*0.9*C6)/1000000000000*D8/AA7</f>
        <v>5.0870000000000001E+27</v>
      </c>
      <c r="C12" s="4">
        <v>0.01</v>
      </c>
      <c r="D12" s="26">
        <f t="shared" ref="D12:D39" si="0">B12*C12</f>
        <v>5.087E+25</v>
      </c>
      <c r="E12" s="27">
        <v>1E-3</v>
      </c>
      <c r="F12" s="29">
        <f>D12/D$26*(E$26/E12)^H$8*F$26</f>
        <v>1.0174E+30</v>
      </c>
      <c r="J12" s="41">
        <f>N4+N5+N6+N7+S4/2+S5/5</f>
        <v>38400000</v>
      </c>
      <c r="K12" s="4">
        <f>C12</f>
        <v>0.01</v>
      </c>
      <c r="L12" s="7">
        <f t="shared" ref="L12:L39" si="1">J12*K12</f>
        <v>384000</v>
      </c>
      <c r="M12" s="27">
        <f t="shared" ref="M12:M39" si="2">E12</f>
        <v>1E-3</v>
      </c>
      <c r="N12" s="28">
        <f>1/(N$30/L12*L$30*(M12/M$30)^H8)</f>
        <v>7679.9999999999982</v>
      </c>
      <c r="U12" s="36">
        <f>(D4+D5)*(X8*AD7*AA9*AD9*AA8*AD8)*AG7</f>
        <v>3.5000000000000006E+51</v>
      </c>
      <c r="V12" s="72">
        <f t="shared" ref="V12:V34" si="3">K12</f>
        <v>0.01</v>
      </c>
      <c r="W12" s="34">
        <f t="shared" ref="W12:W53" si="4">U12*V12</f>
        <v>3.5000000000000008E+49</v>
      </c>
      <c r="X12">
        <f t="shared" ref="X12:X53" si="5">E12</f>
        <v>1E-3</v>
      </c>
      <c r="Y12" s="47">
        <f>Y$43*(X$43/X12)^H8*W12/W$43</f>
        <v>3.3333333333333342E+39</v>
      </c>
      <c r="AB12" s="36">
        <f>-(D4+D5)*(X8*AD7*AA9*AD9*AA8*AD8)*(1-AG7)</f>
        <v>-3.1500000000000005E+52</v>
      </c>
      <c r="AC12">
        <f t="shared" ref="AC12:AC51" si="6">V12</f>
        <v>0.01</v>
      </c>
      <c r="AD12" s="36">
        <f t="shared" ref="AD12:AD53" si="7">AB12*AC12</f>
        <v>-3.1500000000000008E+50</v>
      </c>
      <c r="AE12">
        <f t="shared" ref="AE12:AE22" si="8">E12</f>
        <v>1E-3</v>
      </c>
      <c r="AF12" s="47">
        <f>AF$43*(AE$43/AE12)^H8*AD12/AD$43</f>
        <v>-3.0000000000000007E+40</v>
      </c>
    </row>
    <row r="13" spans="1:35">
      <c r="A13" s="85" t="s">
        <v>72</v>
      </c>
      <c r="B13" s="33">
        <f>-X8*(D4+D5)*B4*AD9*AA8/1000000000000</f>
        <v>-3.5E+28</v>
      </c>
      <c r="C13" s="4">
        <v>0.01</v>
      </c>
      <c r="D13">
        <f t="shared" si="0"/>
        <v>-3.4999999999999999E+26</v>
      </c>
      <c r="E13" s="27">
        <v>1E-3</v>
      </c>
      <c r="F13" s="29">
        <f>-D13/D$26*(E$26/E13)^H$8*F$26</f>
        <v>6.9999999999999993E+30</v>
      </c>
      <c r="J13" s="41">
        <f>-100*R6</f>
        <v>-1000000000</v>
      </c>
      <c r="K13" s="4">
        <f>C13</f>
        <v>0.01</v>
      </c>
      <c r="L13" s="7">
        <f t="shared" si="1"/>
        <v>-10000000</v>
      </c>
      <c r="M13" s="27">
        <f t="shared" si="2"/>
        <v>1E-3</v>
      </c>
      <c r="N13" s="35">
        <f>-1/(N$30/L13*L$30*(M13/M$30)^H8)</f>
        <v>199999.99999999997</v>
      </c>
      <c r="U13" s="36">
        <f>(D4+D5)*(X8*AD7*AA9*AD9*AA8*AD8)*AG8</f>
        <v>3.5000000000000005E+50</v>
      </c>
      <c r="V13" s="72">
        <f t="shared" si="3"/>
        <v>0.01</v>
      </c>
      <c r="W13" s="34">
        <f t="shared" si="4"/>
        <v>3.5000000000000004E+48</v>
      </c>
      <c r="X13">
        <f t="shared" si="5"/>
        <v>1E-3</v>
      </c>
      <c r="Y13" s="47">
        <f>Y$43*(X$43/X13)^H8*W13/W$43</f>
        <v>3.3333333333333336E+38</v>
      </c>
      <c r="AB13" s="36">
        <f>-(D4+D5)*(X8*AD7*AA9*AD9*AA8*AD8)*(1-AG8)</f>
        <v>-3.4650000000000006E+52</v>
      </c>
      <c r="AC13">
        <f t="shared" si="6"/>
        <v>0.01</v>
      </c>
      <c r="AD13" s="36">
        <f t="shared" si="7"/>
        <v>-3.4650000000000007E+50</v>
      </c>
      <c r="AE13">
        <f t="shared" si="8"/>
        <v>1E-3</v>
      </c>
      <c r="AF13" s="47">
        <f>AF$43*(AE$43/AE13)^H8*AD13/AD$43</f>
        <v>-3.3000000000000003E+40</v>
      </c>
    </row>
    <row r="14" spans="1:35">
      <c r="A14" s="1" t="s">
        <v>17</v>
      </c>
      <c r="B14" s="43">
        <f>(D4*B4+D5*B5+C7*0.9*C6)/1000000000000*D8</f>
        <v>5.087E+25</v>
      </c>
      <c r="C14" s="4">
        <v>0.1</v>
      </c>
      <c r="D14" s="26">
        <f t="shared" si="0"/>
        <v>5.0869999999999998E+24</v>
      </c>
      <c r="E14" s="27">
        <v>0.01</v>
      </c>
      <c r="F14" s="29">
        <f>D14/D$26*(E$26/E14)^H$8*F$26</f>
        <v>1.0174E+28</v>
      </c>
      <c r="J14" s="1">
        <f>J12</f>
        <v>38400000</v>
      </c>
      <c r="K14" s="4">
        <f>C14</f>
        <v>0.1</v>
      </c>
      <c r="L14" s="7">
        <f t="shared" si="1"/>
        <v>3840000</v>
      </c>
      <c r="M14" s="27">
        <f t="shared" si="2"/>
        <v>0.01</v>
      </c>
      <c r="N14" s="28">
        <f>1/(N$30/L14*L$30*(M14/M$30)^H8)</f>
        <v>7680</v>
      </c>
      <c r="U14" s="37">
        <f>-X9*AG8</f>
        <v>-3.5000000000000004E+48</v>
      </c>
      <c r="V14" s="72">
        <f t="shared" si="3"/>
        <v>0.1</v>
      </c>
      <c r="W14" s="34">
        <f t="shared" si="4"/>
        <v>-3.5000000000000006E+47</v>
      </c>
      <c r="X14">
        <f t="shared" si="5"/>
        <v>0.01</v>
      </c>
      <c r="Y14" s="47">
        <f>Y$43*(X$43/X14)^H8*W14/W$43</f>
        <v>-3.333333333333334E+36</v>
      </c>
      <c r="AB14" s="37">
        <f>X9*(1-AG8)</f>
        <v>3.4649999999999999E+50</v>
      </c>
      <c r="AC14">
        <f t="shared" si="6"/>
        <v>0.1</v>
      </c>
      <c r="AD14" s="36">
        <f t="shared" si="7"/>
        <v>3.4649999999999999E+49</v>
      </c>
      <c r="AE14">
        <f t="shared" si="8"/>
        <v>0.01</v>
      </c>
      <c r="AF14" s="47">
        <f>AF$43*(AE$43/AE14)^H8*AD14/AD$43</f>
        <v>3.2999999999999999E+38</v>
      </c>
    </row>
    <row r="15" spans="1:35">
      <c r="A15" t="s">
        <v>114</v>
      </c>
      <c r="B15" s="43"/>
      <c r="C15" s="4"/>
      <c r="D15" s="26"/>
      <c r="E15" s="27"/>
      <c r="F15" s="29"/>
      <c r="J15" s="1"/>
      <c r="K15" s="4"/>
      <c r="L15" s="7"/>
      <c r="M15" s="27"/>
      <c r="N15" s="28"/>
      <c r="U15" s="37"/>
      <c r="V15" s="71"/>
      <c r="W15" s="34"/>
      <c r="AB15" s="37"/>
      <c r="AD15" s="36"/>
    </row>
    <row r="16" spans="1:35">
      <c r="A16" t="s">
        <v>48</v>
      </c>
      <c r="B16" s="13">
        <f>B4*D4/4/1000000000000</f>
        <v>1250</v>
      </c>
      <c r="C16" s="4">
        <f>H7/500</f>
        <v>9.9999999999999992E-2</v>
      </c>
      <c r="D16">
        <f t="shared" si="0"/>
        <v>124.99999999999999</v>
      </c>
      <c r="E16" s="1">
        <v>3</v>
      </c>
      <c r="F16" s="7">
        <f>D16/D$26*(E$26/E16)^H8*F$26</f>
        <v>833.33333333333326</v>
      </c>
      <c r="J16" s="1">
        <f>L4/10000</f>
        <v>3000</v>
      </c>
      <c r="K16" s="4">
        <f>C16</f>
        <v>9.9999999999999992E-2</v>
      </c>
      <c r="L16" s="7">
        <f t="shared" si="1"/>
        <v>300</v>
      </c>
      <c r="M16" s="1">
        <f t="shared" si="2"/>
        <v>3</v>
      </c>
      <c r="N16" s="14">
        <f>1/(N$30/L16*L$30*(M16/M$30)^H8)</f>
        <v>2E-3</v>
      </c>
      <c r="V16" s="71"/>
      <c r="W16" s="34"/>
      <c r="AD16" s="21"/>
    </row>
    <row r="17" spans="1:33">
      <c r="A17" t="s">
        <v>39</v>
      </c>
      <c r="B17" s="13">
        <f>(D4*0.9*B4+D5*0.9*B5)/1000000000000</f>
        <v>4554</v>
      </c>
      <c r="C17" s="8">
        <f>H7/500000</f>
        <v>9.9999999999999991E-5</v>
      </c>
      <c r="D17">
        <f t="shared" si="0"/>
        <v>0.45539999999999997</v>
      </c>
      <c r="E17" s="1">
        <v>3</v>
      </c>
      <c r="F17" s="7">
        <f>D17/D$26*(E$26/E17)^H8*F$26</f>
        <v>3.0359999999999996</v>
      </c>
      <c r="J17" s="1"/>
      <c r="K17" s="1"/>
      <c r="L17" s="7"/>
      <c r="M17" s="1"/>
      <c r="N17" s="21"/>
      <c r="V17" s="71"/>
      <c r="W17" s="34"/>
      <c r="AD17" s="21"/>
    </row>
    <row r="18" spans="1:33">
      <c r="A18" t="s">
        <v>40</v>
      </c>
      <c r="B18" s="13">
        <f>(D4*0.9*B4+D5*0.9*B5)/1000000000000</f>
        <v>4554</v>
      </c>
      <c r="C18" s="4">
        <v>0.01</v>
      </c>
      <c r="D18">
        <f t="shared" si="0"/>
        <v>45.54</v>
      </c>
      <c r="E18" s="1">
        <v>1</v>
      </c>
      <c r="F18" s="7">
        <f>D18/D$26*(E$26/E18)^H8*F$26</f>
        <v>910.80000000000018</v>
      </c>
      <c r="J18" s="1"/>
      <c r="K18" s="1"/>
      <c r="L18" s="7"/>
      <c r="M18" s="1"/>
      <c r="N18" s="21"/>
      <c r="V18" s="71"/>
      <c r="W18" s="34"/>
      <c r="AD18" s="21"/>
    </row>
    <row r="19" spans="1:33">
      <c r="A19" t="s">
        <v>41</v>
      </c>
      <c r="B19" s="13">
        <f>(D4*0.1*B4+D5*0.1*B5)/1000000000000</f>
        <v>506</v>
      </c>
      <c r="C19" s="4">
        <f>H7/500</f>
        <v>9.9999999999999992E-2</v>
      </c>
      <c r="D19">
        <f t="shared" si="0"/>
        <v>50.599999999999994</v>
      </c>
      <c r="E19" s="1">
        <v>3</v>
      </c>
      <c r="F19" s="7">
        <f>D19/D$26*(E$26/E19)^H8*F$26</f>
        <v>337.33333333333337</v>
      </c>
      <c r="J19" s="1"/>
      <c r="K19" s="1"/>
      <c r="L19" s="7"/>
      <c r="M19" s="1"/>
      <c r="N19" s="21"/>
      <c r="V19" s="71"/>
      <c r="W19" s="34"/>
      <c r="AD19" s="21"/>
    </row>
    <row r="20" spans="1:33">
      <c r="A20" t="s">
        <v>42</v>
      </c>
      <c r="B20" s="13">
        <f>(D4*0.1*B4+D5*0.1*B5)/1000000000000</f>
        <v>506</v>
      </c>
      <c r="C20" s="4">
        <v>0.1</v>
      </c>
      <c r="D20">
        <f t="shared" si="0"/>
        <v>50.6</v>
      </c>
      <c r="E20" s="1">
        <v>1</v>
      </c>
      <c r="F20" s="7">
        <f>D20/D$26*(E$26/E20)^H8*F$26</f>
        <v>1012.0000000000002</v>
      </c>
      <c r="J20" s="1"/>
      <c r="K20" s="1"/>
      <c r="L20" s="7"/>
      <c r="M20" s="1"/>
      <c r="N20" s="21"/>
      <c r="V20" s="71"/>
      <c r="W20" s="34"/>
      <c r="AD20" s="21"/>
    </row>
    <row r="21" spans="1:33">
      <c r="A21" s="1" t="s">
        <v>18</v>
      </c>
      <c r="B21" s="43">
        <f>(D4*B4+D5*B5+C7*C6)/1000000000000*D8</f>
        <v>5.09E+25</v>
      </c>
      <c r="C21" s="53">
        <f>1/50000000*H7/10</f>
        <v>9.9999999999999995E-8</v>
      </c>
      <c r="D21" s="26">
        <f t="shared" si="0"/>
        <v>5.09E+18</v>
      </c>
      <c r="E21" s="27">
        <v>1E-3</v>
      </c>
      <c r="F21" s="37">
        <f>D21/D$26*(E$26/E21)^H8*F$26</f>
        <v>1.0179999999999999E+23</v>
      </c>
      <c r="J21" s="41">
        <f>S8</f>
        <v>60800000</v>
      </c>
      <c r="K21" s="53">
        <f>C21*P2/H7</f>
        <v>6.0000000000000008E-7</v>
      </c>
      <c r="L21" s="18">
        <f t="shared" si="1"/>
        <v>36.480000000000004</v>
      </c>
      <c r="M21" s="27">
        <f t="shared" si="2"/>
        <v>1E-3</v>
      </c>
      <c r="N21" s="40">
        <f>1/(N$30/L21*L$30*(M21/M$30)^H8)</f>
        <v>0.72960000000000003</v>
      </c>
      <c r="U21" s="37">
        <f>-X9*AG8</f>
        <v>-3.5000000000000004E+48</v>
      </c>
      <c r="V21" s="70">
        <f t="shared" si="3"/>
        <v>6.0000000000000008E-7</v>
      </c>
      <c r="W21" s="34">
        <f t="shared" si="4"/>
        <v>-2.1000000000000006E+42</v>
      </c>
      <c r="X21">
        <f t="shared" si="5"/>
        <v>1E-3</v>
      </c>
      <c r="Y21" s="47">
        <f>Y$43*(X$43/X21)^H8*W21/W$43</f>
        <v>-2.0000000000000005E+32</v>
      </c>
      <c r="AB21" s="37">
        <f>X9*(1-AG8)</f>
        <v>3.4649999999999999E+50</v>
      </c>
      <c r="AC21" s="42">
        <f t="shared" si="6"/>
        <v>6.0000000000000008E-7</v>
      </c>
      <c r="AD21" s="36">
        <f t="shared" si="7"/>
        <v>2.0790000000000003E+44</v>
      </c>
      <c r="AE21">
        <f t="shared" si="8"/>
        <v>1E-3</v>
      </c>
      <c r="AF21" s="47">
        <f>AF$43*(AE$43/AE21)^H8*AD21/AD$43</f>
        <v>1.9800000000000002E+34</v>
      </c>
    </row>
    <row r="22" spans="1:33">
      <c r="A22" s="1" t="s">
        <v>19</v>
      </c>
      <c r="B22" s="43">
        <f>(D4*B4+D5*B5+C7*C6)/1000000000000*D8</f>
        <v>5.09E+25</v>
      </c>
      <c r="C22" s="53">
        <f>1/50000000*H7/10</f>
        <v>9.9999999999999995E-8</v>
      </c>
      <c r="D22" s="26">
        <f t="shared" si="0"/>
        <v>5.09E+18</v>
      </c>
      <c r="E22" s="27">
        <v>1E-3</v>
      </c>
      <c r="F22" s="37">
        <f>D22/D$26*(E$26/E22)^H8*F$26</f>
        <v>1.0179999999999999E+23</v>
      </c>
      <c r="J22" s="41">
        <f>S8</f>
        <v>60800000</v>
      </c>
      <c r="K22" s="53">
        <f>C22*P2/H7</f>
        <v>6.0000000000000008E-7</v>
      </c>
      <c r="L22" s="18">
        <f t="shared" si="1"/>
        <v>36.480000000000004</v>
      </c>
      <c r="M22" s="27">
        <f t="shared" si="2"/>
        <v>1E-3</v>
      </c>
      <c r="N22" s="40">
        <f>1/(N$30/L22*L$30*(M22/M$30)^H8)</f>
        <v>0.72960000000000003</v>
      </c>
      <c r="U22" s="37">
        <f>-X9*AG8</f>
        <v>-3.5000000000000004E+48</v>
      </c>
      <c r="V22" s="70">
        <f t="shared" si="3"/>
        <v>6.0000000000000008E-7</v>
      </c>
      <c r="W22" s="34">
        <f t="shared" si="4"/>
        <v>-2.1000000000000006E+42</v>
      </c>
      <c r="X22">
        <f t="shared" si="5"/>
        <v>1E-3</v>
      </c>
      <c r="Y22" s="47">
        <f>Y$43*(X$43/X22)^H8*W22/W$43</f>
        <v>-2.0000000000000005E+32</v>
      </c>
      <c r="AB22" s="37">
        <f>X9*(1-AG8)</f>
        <v>3.4649999999999999E+50</v>
      </c>
      <c r="AC22" s="42">
        <f t="shared" si="6"/>
        <v>6.0000000000000008E-7</v>
      </c>
      <c r="AD22" s="36">
        <f t="shared" si="7"/>
        <v>2.0790000000000003E+44</v>
      </c>
      <c r="AE22">
        <f t="shared" si="8"/>
        <v>1E-3</v>
      </c>
      <c r="AF22" s="47">
        <f>AF$43*(AE$43/AE22)^H8*AD22/AD$43</f>
        <v>1.9800000000000002E+34</v>
      </c>
    </row>
    <row r="23" spans="1:33">
      <c r="A23" s="1" t="s">
        <v>118</v>
      </c>
      <c r="B23" s="63">
        <f>0.5*(-D22-D21-D11)</f>
        <v>-4.9999999999999996E+92</v>
      </c>
      <c r="C23" s="41"/>
      <c r="D23" s="26"/>
      <c r="E23" s="27">
        <v>0.01</v>
      </c>
      <c r="F23" s="64">
        <f>-B23/E23</f>
        <v>4.9999999999999994E+94</v>
      </c>
      <c r="J23" s="63">
        <f>0.5*(-L22-L21-L11)</f>
        <v>-3.5856103793984669E+73</v>
      </c>
      <c r="K23" s="41"/>
      <c r="L23" s="18"/>
      <c r="M23" s="27">
        <v>0.01</v>
      </c>
      <c r="N23" s="64">
        <f>-J23/M23</f>
        <v>3.585610379398467E+75</v>
      </c>
      <c r="U23" s="63">
        <f>0.5*(-W22-W21-W11)</f>
        <v>5.1080550098231836E+76</v>
      </c>
      <c r="V23" s="41"/>
      <c r="W23" s="26"/>
      <c r="X23">
        <f t="shared" si="5"/>
        <v>0.01</v>
      </c>
      <c r="Y23" s="81">
        <f>-U23/X23</f>
        <v>-5.1080550098231835E+78</v>
      </c>
      <c r="AB23" s="63">
        <f>0.5*(-AD22-AD21-AD11)</f>
        <v>-4.5972495088408655E+77</v>
      </c>
      <c r="AC23" s="41"/>
      <c r="AD23" s="26"/>
      <c r="AE23" s="27">
        <v>0.01</v>
      </c>
      <c r="AF23" s="64">
        <f>-AB23/AE23</f>
        <v>4.5972495088408656E+79</v>
      </c>
      <c r="AG23" s="64"/>
    </row>
    <row r="24" spans="1:33">
      <c r="A24" t="s">
        <v>36</v>
      </c>
      <c r="B24" s="43">
        <f>(D4*B4+D5*B5+C7*0.9*C6)/1000000000000</f>
        <v>5087</v>
      </c>
      <c r="C24" s="56">
        <f>H7/1000000000</f>
        <v>4.9999999999999991E-8</v>
      </c>
      <c r="D24" s="26">
        <f t="shared" si="0"/>
        <v>2.5434999999999998E-4</v>
      </c>
      <c r="E24" s="27">
        <v>1E-3</v>
      </c>
      <c r="F24" s="64">
        <f>D24/D$26*(E$26/E24)^H8*F$26</f>
        <v>5.0869999999999997</v>
      </c>
      <c r="J24" s="41">
        <f>J12</f>
        <v>38400000</v>
      </c>
      <c r="K24" s="55">
        <f>C24*P2/H7</f>
        <v>2.9999999999999999E-7</v>
      </c>
      <c r="L24" s="44">
        <f t="shared" si="1"/>
        <v>11.52</v>
      </c>
      <c r="M24" s="27">
        <f t="shared" si="2"/>
        <v>1E-3</v>
      </c>
      <c r="N24" s="82">
        <f>1/(N$30/L24*L$30*(M24/M$30)^H8)</f>
        <v>0.23039999999999997</v>
      </c>
      <c r="U24" s="64">
        <v>0</v>
      </c>
      <c r="V24" s="70">
        <f t="shared" si="3"/>
        <v>2.9999999999999999E-7</v>
      </c>
      <c r="W24" s="34">
        <f t="shared" si="4"/>
        <v>0</v>
      </c>
      <c r="X24">
        <f t="shared" si="5"/>
        <v>1E-3</v>
      </c>
      <c r="Y24" s="81">
        <f>Y$43*(X$43/X24)^H8*W24/W$43</f>
        <v>0</v>
      </c>
      <c r="AB24" s="64">
        <v>0</v>
      </c>
      <c r="AC24" s="37">
        <f t="shared" si="6"/>
        <v>2.9999999999999999E-7</v>
      </c>
      <c r="AD24" s="36">
        <f t="shared" si="7"/>
        <v>0</v>
      </c>
      <c r="AE24">
        <f>E24</f>
        <v>1E-3</v>
      </c>
      <c r="AF24" s="81">
        <f>AF$43*(AE$43/AE24)^H8*AD24/AD$43</f>
        <v>0</v>
      </c>
    </row>
    <row r="25" spans="1:33">
      <c r="A25" t="s">
        <v>35</v>
      </c>
      <c r="B25" s="43">
        <f>(D4*B4+D5*B5+C7*C6)/1000000000000</f>
        <v>5090</v>
      </c>
      <c r="C25" s="59">
        <f>1%*H7/1000000</f>
        <v>4.9999999999999998E-7</v>
      </c>
      <c r="D25" s="37">
        <f t="shared" si="0"/>
        <v>2.545E-3</v>
      </c>
      <c r="E25" s="27">
        <v>1E-3</v>
      </c>
      <c r="F25" s="73">
        <f>D25/D$26*(E$26/E25)^H8*F$26</f>
        <v>50.9</v>
      </c>
      <c r="J25" s="41">
        <f>S8</f>
        <v>60800000</v>
      </c>
      <c r="K25" s="58">
        <f>C25*P2/H7</f>
        <v>3.0000000000000001E-6</v>
      </c>
      <c r="L25" s="30">
        <f t="shared" si="1"/>
        <v>182.4</v>
      </c>
      <c r="M25" s="27">
        <f t="shared" si="2"/>
        <v>1E-3</v>
      </c>
      <c r="N25" s="28">
        <f>1/(N$30/L25*L$30*(M25/M$30)^H8)</f>
        <v>3.6480000000000006</v>
      </c>
      <c r="U25" s="37">
        <f>-X9*AG8</f>
        <v>-3.5000000000000004E+48</v>
      </c>
      <c r="V25" s="69">
        <f t="shared" si="3"/>
        <v>3.0000000000000001E-6</v>
      </c>
      <c r="W25" s="34">
        <f t="shared" si="4"/>
        <v>-1.0500000000000001E+43</v>
      </c>
      <c r="X25">
        <f t="shared" si="5"/>
        <v>1E-3</v>
      </c>
      <c r="Y25" s="47">
        <f>Y$43*(X$43/X25)^H8*W25/W$43</f>
        <v>-1.0000000000000001E+33</v>
      </c>
      <c r="AB25" s="37">
        <f>X9*(1-AG8)</f>
        <v>3.4649999999999999E+50</v>
      </c>
      <c r="AC25" s="26">
        <f t="shared" si="6"/>
        <v>3.0000000000000001E-6</v>
      </c>
      <c r="AD25" s="36">
        <f t="shared" si="7"/>
        <v>1.0395E+45</v>
      </c>
      <c r="AE25">
        <f>E25</f>
        <v>1E-3</v>
      </c>
      <c r="AF25" s="47">
        <f>AF$43*(AE$43/AE25)^H8*AD25/AD$43</f>
        <v>9.9000000000000001E+34</v>
      </c>
    </row>
    <row r="26" spans="1:33">
      <c r="A26" t="s">
        <v>37</v>
      </c>
      <c r="B26" s="13">
        <v>100</v>
      </c>
      <c r="C26" s="4">
        <f>50%*0.1</f>
        <v>0.05</v>
      </c>
      <c r="D26">
        <f t="shared" si="0"/>
        <v>5</v>
      </c>
      <c r="E26" s="1">
        <v>10</v>
      </c>
      <c r="F26" s="1">
        <v>10</v>
      </c>
      <c r="J26" s="1">
        <f>L4/1000</f>
        <v>30000</v>
      </c>
      <c r="K26" s="4">
        <v>0.5</v>
      </c>
      <c r="L26" s="7">
        <f t="shared" si="1"/>
        <v>15000</v>
      </c>
      <c r="M26" s="1">
        <f t="shared" si="2"/>
        <v>10</v>
      </c>
      <c r="N26" s="15">
        <f>1/(N$30/L26*L$30*(M26/M$30)^H8)</f>
        <v>3.0000000000000006E-2</v>
      </c>
      <c r="V26" s="71"/>
      <c r="W26" s="34"/>
      <c r="AD26" s="21"/>
    </row>
    <row r="27" spans="1:33">
      <c r="A27" t="s">
        <v>38</v>
      </c>
      <c r="B27" s="13">
        <v>1000</v>
      </c>
      <c r="C27" s="8">
        <f>0.01*0.1*0.1</f>
        <v>1E-4</v>
      </c>
      <c r="D27">
        <f t="shared" si="0"/>
        <v>0.1</v>
      </c>
      <c r="E27" s="1">
        <v>1</v>
      </c>
      <c r="F27" s="7">
        <f>D27/D$26*(E$26/E27)^H8*F$26</f>
        <v>2</v>
      </c>
      <c r="J27" s="1">
        <f>L4/100</f>
        <v>300000</v>
      </c>
      <c r="K27" s="4">
        <v>0.01</v>
      </c>
      <c r="L27" s="7">
        <f t="shared" si="1"/>
        <v>3000</v>
      </c>
      <c r="M27" s="1">
        <f t="shared" si="2"/>
        <v>1</v>
      </c>
      <c r="N27" s="15">
        <f>1/(N$30/L27*L$30*(M27/M$30)^H8)</f>
        <v>0.06</v>
      </c>
      <c r="V27" s="71"/>
      <c r="W27" s="34"/>
      <c r="AD27" s="21"/>
    </row>
    <row r="28" spans="1:33">
      <c r="A28" t="s">
        <v>44</v>
      </c>
      <c r="B28" s="13">
        <v>1000</v>
      </c>
      <c r="C28" s="9">
        <f>H7/500000</f>
        <v>9.9999999999999991E-5</v>
      </c>
      <c r="D28">
        <f t="shared" si="0"/>
        <v>9.9999999999999992E-2</v>
      </c>
      <c r="E28" s="1">
        <v>1</v>
      </c>
      <c r="F28" s="7">
        <f>D28/D$26*(E$26/E28)^H8*F$26</f>
        <v>1.9999999999999996</v>
      </c>
      <c r="J28" s="1">
        <f>L4/100</f>
        <v>300000</v>
      </c>
      <c r="K28" s="1">
        <f>C28*P2/H7</f>
        <v>6.0000000000000006E-4</v>
      </c>
      <c r="L28" s="7">
        <f t="shared" si="1"/>
        <v>180.00000000000003</v>
      </c>
      <c r="M28" s="1">
        <f t="shared" si="2"/>
        <v>1</v>
      </c>
      <c r="N28" s="14">
        <f>1/(N$30/L28*L$30*(M28/M$30)^H8)</f>
        <v>3.6000000000000008E-3</v>
      </c>
      <c r="V28" s="71"/>
      <c r="W28" s="34"/>
      <c r="AD28" s="21"/>
    </row>
    <row r="29" spans="1:33">
      <c r="A29" t="s">
        <v>47</v>
      </c>
      <c r="B29" s="13"/>
      <c r="C29" s="9"/>
      <c r="E29" s="1"/>
      <c r="F29" s="12">
        <v>1000</v>
      </c>
      <c r="J29" s="1"/>
      <c r="K29" s="1"/>
      <c r="L29" s="7"/>
      <c r="M29" s="1"/>
      <c r="N29" s="45">
        <f>1/(N21/100)</f>
        <v>137.06140350877192</v>
      </c>
      <c r="V29" s="71"/>
      <c r="W29" s="34"/>
      <c r="AD29" s="21"/>
    </row>
    <row r="30" spans="1:33">
      <c r="A30" t="s">
        <v>43</v>
      </c>
      <c r="B30" s="13">
        <f>C7*0.5*C6/1000000000000</f>
        <v>15</v>
      </c>
      <c r="C30" s="4">
        <f>50%*0.2</f>
        <v>0.1</v>
      </c>
      <c r="D30">
        <f t="shared" si="0"/>
        <v>1.5</v>
      </c>
      <c r="E30" s="1">
        <v>30</v>
      </c>
      <c r="F30" s="7">
        <f>D30/D$26*(E$26/E30)^H8*F$26</f>
        <v>0.99999999999999989</v>
      </c>
      <c r="J30" s="1">
        <f>L4/100</f>
        <v>300000</v>
      </c>
      <c r="K30" s="4">
        <v>0.5</v>
      </c>
      <c r="L30" s="7">
        <f t="shared" si="1"/>
        <v>150000</v>
      </c>
      <c r="M30" s="1">
        <f t="shared" si="2"/>
        <v>30</v>
      </c>
      <c r="N30" s="11">
        <f>1/(0.1)</f>
        <v>10</v>
      </c>
      <c r="V30" s="71"/>
      <c r="W30" s="34"/>
      <c r="AD30" s="21"/>
    </row>
    <row r="31" spans="1:33">
      <c r="A31" t="s">
        <v>46</v>
      </c>
      <c r="B31" s="13"/>
      <c r="C31" s="4"/>
      <c r="E31" s="1">
        <f>E7*0.01*1000</f>
        <v>500</v>
      </c>
      <c r="F31" s="11">
        <f>F56/10</f>
        <v>0.1</v>
      </c>
      <c r="J31" s="1">
        <v>10</v>
      </c>
      <c r="K31" s="4">
        <v>1</v>
      </c>
      <c r="L31" s="18">
        <f t="shared" si="1"/>
        <v>10</v>
      </c>
      <c r="M31" s="12">
        <f>E31</f>
        <v>500</v>
      </c>
      <c r="N31" s="21">
        <f>1/(N$30/L31*L$30*(M31/M$30)^H8)</f>
        <v>3.9999999999999998E-7</v>
      </c>
      <c r="V31" s="71"/>
      <c r="W31" s="34"/>
      <c r="AD31" s="21"/>
    </row>
    <row r="32" spans="1:33">
      <c r="A32" t="s">
        <v>20</v>
      </c>
      <c r="B32" s="13">
        <v>10</v>
      </c>
      <c r="C32" s="4">
        <v>0.01</v>
      </c>
      <c r="D32">
        <f t="shared" si="0"/>
        <v>0.1</v>
      </c>
      <c r="E32" s="27">
        <v>0.1</v>
      </c>
      <c r="F32" s="30">
        <f>D32/D$26*(E$26/E32)^H8*F$26</f>
        <v>20</v>
      </c>
      <c r="J32" s="1">
        <f>L4/100</f>
        <v>300000</v>
      </c>
      <c r="K32" s="4">
        <v>0.01</v>
      </c>
      <c r="L32" s="7">
        <f t="shared" si="1"/>
        <v>3000</v>
      </c>
      <c r="M32" s="27">
        <f t="shared" si="2"/>
        <v>0.1</v>
      </c>
      <c r="N32" s="44">
        <f>1/(N$30/L32*L$30*(M32/M$30)^H8)</f>
        <v>0.59999999999999987</v>
      </c>
      <c r="V32" s="71"/>
      <c r="W32" s="34"/>
      <c r="AD32" s="21"/>
    </row>
    <row r="33" spans="1:32">
      <c r="A33" t="s">
        <v>63</v>
      </c>
      <c r="B33" s="13">
        <f>C7/10*C6/1000000000000</f>
        <v>3</v>
      </c>
      <c r="C33" s="4">
        <v>0.01</v>
      </c>
      <c r="D33">
        <f>B33*C33</f>
        <v>0.03</v>
      </c>
      <c r="E33" s="27">
        <v>0.1</v>
      </c>
      <c r="F33" s="30">
        <f>D33/D$26*(E$26/E33)^H8*F$26</f>
        <v>6</v>
      </c>
      <c r="J33" s="1">
        <f>L4/10</f>
        <v>3000000</v>
      </c>
      <c r="K33" s="4">
        <v>0.01</v>
      </c>
      <c r="L33" s="7">
        <f>J33*K33</f>
        <v>30000</v>
      </c>
      <c r="M33" s="27">
        <f>E33</f>
        <v>0.1</v>
      </c>
      <c r="N33" s="44">
        <f>1/(N$30/L33*L$30*(M33/M$30)^H8)</f>
        <v>5.9999999999999991</v>
      </c>
      <c r="V33" s="71"/>
      <c r="W33" s="34"/>
      <c r="AD33" s="21"/>
    </row>
    <row r="34" spans="1:32">
      <c r="A34" s="1" t="s">
        <v>49</v>
      </c>
      <c r="B34" s="43">
        <f>(D4*B4+D5*B5+C7*0.9*C6)/1000000000000*D8</f>
        <v>5.087E+25</v>
      </c>
      <c r="C34" s="57">
        <f>50/30000000000*0.9</f>
        <v>1.5E-9</v>
      </c>
      <c r="D34" s="26">
        <f t="shared" si="0"/>
        <v>7.6305E+16</v>
      </c>
      <c r="E34" s="1">
        <v>0.3</v>
      </c>
      <c r="F34" s="37">
        <f>D34/D$26*(E$26/E34)^H8*F$26</f>
        <v>5.087000000000001E+18</v>
      </c>
      <c r="J34" s="41">
        <f>N4*0.9+N5*0.8+N6*0.7+N7*0.6+N8*0.5+S4*0.4</f>
        <v>34570000</v>
      </c>
      <c r="K34" s="41">
        <f>C34*P2/H7</f>
        <v>9.0000000000000012E-9</v>
      </c>
      <c r="L34" s="15">
        <f t="shared" si="1"/>
        <v>0.31113000000000002</v>
      </c>
      <c r="M34" s="1">
        <f t="shared" si="2"/>
        <v>0.3</v>
      </c>
      <c r="N34" s="21">
        <f>1/(N$30/L34*L$30*(M34/M$30)^H8)</f>
        <v>2.0742000000000002E-5</v>
      </c>
      <c r="U34" s="37">
        <f>-X9*AG8</f>
        <v>-3.5000000000000004E+48</v>
      </c>
      <c r="V34" s="71">
        <f t="shared" si="3"/>
        <v>9.0000000000000012E-9</v>
      </c>
      <c r="W34" s="34">
        <f t="shared" si="4"/>
        <v>-3.150000000000001E+40</v>
      </c>
      <c r="X34">
        <f t="shared" si="5"/>
        <v>0.3</v>
      </c>
      <c r="Y34" s="34">
        <f>Y$43*(X$43/X34)^H8*W34/W$43</f>
        <v>-1.0000000000000004E+28</v>
      </c>
      <c r="AB34" s="37">
        <f>X9*(1-AG8)</f>
        <v>3.4649999999999999E+50</v>
      </c>
      <c r="AC34">
        <f t="shared" si="6"/>
        <v>9.0000000000000012E-9</v>
      </c>
      <c r="AD34" s="36">
        <f t="shared" si="7"/>
        <v>3.1185000000000003E+42</v>
      </c>
      <c r="AE34">
        <f>E34</f>
        <v>0.3</v>
      </c>
      <c r="AF34" s="47">
        <f>AF$43*(AE$43/AE34)^H8*AD34/AD$43</f>
        <v>9.9000000000000016E+29</v>
      </c>
    </row>
    <row r="35" spans="1:32">
      <c r="A35" t="s">
        <v>22</v>
      </c>
      <c r="B35" s="13">
        <f>(D4*25000*5+C7*0.1*C6)/1000000000000</f>
        <v>128</v>
      </c>
      <c r="C35" s="53">
        <f>50/50000000*0.7</f>
        <v>6.9999999999999997E-7</v>
      </c>
      <c r="D35">
        <f>B35*C35</f>
        <v>8.9599999999999996E-5</v>
      </c>
      <c r="E35" s="1">
        <v>0.3</v>
      </c>
      <c r="F35" s="14">
        <f>D35/D$26*(E$26/E35)^H8*F$26</f>
        <v>5.9733333333333331E-3</v>
      </c>
      <c r="J35" s="1">
        <f>L4/10+L5/100</f>
        <v>3001000</v>
      </c>
      <c r="K35" s="52">
        <f>C35*P2/H7</f>
        <v>4.2000000000000004E-6</v>
      </c>
      <c r="L35" s="15">
        <f t="shared" si="1"/>
        <v>12.604200000000001</v>
      </c>
      <c r="M35" s="1">
        <f t="shared" si="2"/>
        <v>0.3</v>
      </c>
      <c r="N35" s="19">
        <f>1/(N$30/L35*L$30*(M35/M$30)^H8)</f>
        <v>8.4028E-4</v>
      </c>
      <c r="V35" s="71"/>
      <c r="W35" s="34"/>
      <c r="AD35" s="21"/>
    </row>
    <row r="36" spans="1:32">
      <c r="A36" t="s">
        <v>23</v>
      </c>
      <c r="B36" s="13">
        <f>D4*B4*0.001/1000000000000</f>
        <v>5</v>
      </c>
      <c r="C36" s="52">
        <f>50/1000000*0.1</f>
        <v>5.0000000000000004E-6</v>
      </c>
      <c r="D36">
        <f t="shared" si="0"/>
        <v>2.5000000000000001E-5</v>
      </c>
      <c r="E36" s="1">
        <v>0.3</v>
      </c>
      <c r="F36" s="14">
        <f>D36/D$26*(E$26/E36)^H8*F$26</f>
        <v>1.666666666666667E-3</v>
      </c>
      <c r="J36" s="1">
        <v>10</v>
      </c>
      <c r="K36" s="51">
        <f>C36*P2/H7</f>
        <v>3.0000000000000004E-5</v>
      </c>
      <c r="L36" s="19">
        <f t="shared" si="1"/>
        <v>3.0000000000000003E-4</v>
      </c>
      <c r="M36" s="1">
        <f t="shared" si="2"/>
        <v>0.3</v>
      </c>
      <c r="N36" s="21">
        <f>1/(N$30/L36*L$30*(M36/M$30)^H8)</f>
        <v>2.0000000000000004E-8</v>
      </c>
      <c r="V36" s="71"/>
      <c r="W36" s="34"/>
      <c r="AD36" s="21"/>
    </row>
    <row r="37" spans="1:32">
      <c r="A37" t="s">
        <v>24</v>
      </c>
      <c r="B37" s="13">
        <f>(D4*25000*5+C7*0.1*C6)/1000000000000</f>
        <v>128</v>
      </c>
      <c r="C37" s="54">
        <f>50/50000000</f>
        <v>9.9999999999999995E-7</v>
      </c>
      <c r="D37">
        <f t="shared" si="0"/>
        <v>1.2799999999999999E-4</v>
      </c>
      <c r="E37" s="1">
        <v>0.1</v>
      </c>
      <c r="F37" s="40">
        <f>D37/D$26*(E$26/E37)^H8*F$26</f>
        <v>2.5599999999999998E-2</v>
      </c>
      <c r="J37" s="1">
        <f>J35</f>
        <v>3001000</v>
      </c>
      <c r="K37" s="52">
        <f>C37*P2/H7</f>
        <v>6.0000000000000002E-6</v>
      </c>
      <c r="L37" s="15">
        <f t="shared" si="1"/>
        <v>18.006</v>
      </c>
      <c r="M37" s="1">
        <f t="shared" si="2"/>
        <v>0.1</v>
      </c>
      <c r="N37" s="14">
        <f>1/(N$30/L37*L$30*(M37/M$30)^H8)</f>
        <v>3.6012000000000001E-3</v>
      </c>
      <c r="V37" s="71"/>
      <c r="W37" s="34"/>
      <c r="AD37" s="21"/>
    </row>
    <row r="38" spans="1:32">
      <c r="A38" t="s">
        <v>25</v>
      </c>
      <c r="B38" s="13">
        <f>(D4*25000*5+C7*0.1*C6)/1000000000000</f>
        <v>128</v>
      </c>
      <c r="C38" s="1">
        <f>50/100000</f>
        <v>5.0000000000000001E-4</v>
      </c>
      <c r="D38">
        <f t="shared" si="0"/>
        <v>6.4000000000000001E-2</v>
      </c>
      <c r="E38" s="1">
        <v>0.1</v>
      </c>
      <c r="F38" s="7">
        <f>D38/D$26*(E$26/E38)^H8*F$26</f>
        <v>12.8</v>
      </c>
      <c r="J38" s="1">
        <f>L4/100</f>
        <v>300000</v>
      </c>
      <c r="K38" s="50">
        <f>C38*P2/H7</f>
        <v>3.0000000000000005E-3</v>
      </c>
      <c r="L38" s="15">
        <f t="shared" si="1"/>
        <v>900.00000000000011</v>
      </c>
      <c r="M38" s="1">
        <f t="shared" si="2"/>
        <v>0.1</v>
      </c>
      <c r="N38" s="18">
        <f>1/(N$30/L38*L$30*(M38/M$30)^H8)</f>
        <v>0.18</v>
      </c>
      <c r="V38" s="71"/>
      <c r="W38" s="34"/>
      <c r="AD38" s="21"/>
    </row>
    <row r="39" spans="1:32">
      <c r="A39" t="s">
        <v>50</v>
      </c>
      <c r="B39" s="13">
        <f>(2000000000*2000*5+C7*0.01*C6)/1000000000000</f>
        <v>20.3</v>
      </c>
      <c r="C39" s="52">
        <f>50/1000000*0.1</f>
        <v>5.0000000000000004E-6</v>
      </c>
      <c r="D39">
        <f t="shared" si="0"/>
        <v>1.0150000000000001E-4</v>
      </c>
      <c r="E39" s="1">
        <v>0.01</v>
      </c>
      <c r="F39" s="15">
        <f>D39/D$26*(E$26/E39)^H8*F$26</f>
        <v>0.20300000000000001</v>
      </c>
      <c r="J39" s="1">
        <f>L4/100</f>
        <v>300000</v>
      </c>
      <c r="K39" s="51">
        <f>C39*P2/H7</f>
        <v>3.0000000000000004E-5</v>
      </c>
      <c r="L39" s="15">
        <f t="shared" si="1"/>
        <v>9.0000000000000018</v>
      </c>
      <c r="M39" s="1">
        <f t="shared" si="2"/>
        <v>0.01</v>
      </c>
      <c r="N39" s="15">
        <f>1/(N$30/L39*L$30*(M39/M$30)^H8)</f>
        <v>1.8000000000000006E-2</v>
      </c>
      <c r="V39" s="71"/>
      <c r="W39" s="34"/>
      <c r="AD39" s="21"/>
    </row>
    <row r="40" spans="1:32">
      <c r="A40" t="s">
        <v>31</v>
      </c>
      <c r="B40" s="1"/>
      <c r="C40" s="1"/>
      <c r="E40" s="1"/>
      <c r="F40" s="29">
        <f>F$45*H$45/H40</f>
        <v>28571428.571428571</v>
      </c>
      <c r="H40" s="31">
        <v>6.9999999999999999E-4</v>
      </c>
      <c r="I40" s="5"/>
      <c r="V40" s="71"/>
      <c r="W40" s="34"/>
      <c r="AD40" s="21"/>
    </row>
    <row r="41" spans="1:32">
      <c r="A41" t="s">
        <v>30</v>
      </c>
      <c r="B41" s="1"/>
      <c r="C41" s="1"/>
      <c r="E41" s="1"/>
      <c r="F41" s="30">
        <f>F$45*H$45/H41</f>
        <v>66666.666666666672</v>
      </c>
      <c r="H41" s="32">
        <v>0.3</v>
      </c>
      <c r="I41" s="6"/>
      <c r="V41" s="71"/>
      <c r="W41" s="34"/>
      <c r="AD41" s="21"/>
    </row>
    <row r="42" spans="1:32">
      <c r="A42" t="s">
        <v>29</v>
      </c>
      <c r="B42" s="1"/>
      <c r="C42" s="1"/>
      <c r="E42" s="1"/>
      <c r="F42">
        <f>F$45*H$45/H42</f>
        <v>2000</v>
      </c>
      <c r="H42" s="2">
        <v>10</v>
      </c>
      <c r="I42" s="2"/>
      <c r="V42" s="71"/>
      <c r="W42" s="34"/>
      <c r="AD42" s="21"/>
    </row>
    <row r="43" spans="1:32">
      <c r="A43" t="s">
        <v>28</v>
      </c>
      <c r="B43" s="1"/>
      <c r="C43" s="1"/>
      <c r="E43" s="1">
        <v>100</v>
      </c>
      <c r="F43">
        <f>F$45*H$45/H43</f>
        <v>100</v>
      </c>
      <c r="H43" s="2">
        <v>200</v>
      </c>
      <c r="I43" s="2"/>
      <c r="V43" s="71"/>
      <c r="W43" s="34">
        <f>AD5*(D4+D5)*1*0.3*AD8</f>
        <v>5.25E+18</v>
      </c>
      <c r="X43">
        <f>E43</f>
        <v>100</v>
      </c>
      <c r="Y43" s="80">
        <f>1000000/H43</f>
        <v>5000</v>
      </c>
      <c r="AD43" s="21">
        <f>W43</f>
        <v>5.25E+18</v>
      </c>
      <c r="AE43">
        <f>E43</f>
        <v>100</v>
      </c>
      <c r="AF43" s="80">
        <f>Y43</f>
        <v>5000</v>
      </c>
    </row>
    <row r="44" spans="1:32">
      <c r="A44" t="s">
        <v>111</v>
      </c>
      <c r="B44" s="1"/>
      <c r="C44" s="1"/>
      <c r="E44" s="1"/>
      <c r="F44" s="26">
        <f>F45*H45/H44</f>
        <v>1000</v>
      </c>
      <c r="H44" s="39">
        <v>20</v>
      </c>
      <c r="I44" s="2"/>
      <c r="V44" s="71"/>
      <c r="W44" s="34"/>
      <c r="AD44" s="21"/>
    </row>
    <row r="45" spans="1:32">
      <c r="A45" t="s">
        <v>26</v>
      </c>
      <c r="B45" s="1"/>
      <c r="C45" s="1"/>
      <c r="E45" s="1">
        <v>100</v>
      </c>
      <c r="F45">
        <f>F$56*G$56/G45</f>
        <v>100</v>
      </c>
      <c r="G45" s="2">
        <v>300</v>
      </c>
      <c r="H45" s="2">
        <v>200</v>
      </c>
      <c r="I45" s="2"/>
      <c r="V45" s="71"/>
      <c r="W45" s="34"/>
      <c r="AD45" s="21"/>
    </row>
    <row r="46" spans="1:32">
      <c r="A46" t="s">
        <v>33</v>
      </c>
      <c r="E46" s="1">
        <v>1000</v>
      </c>
      <c r="F46">
        <f>F$56*G$56/G46</f>
        <v>3</v>
      </c>
      <c r="G46" s="2">
        <v>10000</v>
      </c>
      <c r="V46" s="71"/>
      <c r="W46" s="34"/>
      <c r="AD46" s="21"/>
    </row>
    <row r="47" spans="1:32">
      <c r="A47" t="s">
        <v>112</v>
      </c>
      <c r="E47" s="1"/>
      <c r="F47">
        <f>F$56*G$56/G47</f>
        <v>3</v>
      </c>
      <c r="G47" s="2">
        <v>10000</v>
      </c>
      <c r="V47" s="71"/>
      <c r="W47" s="34"/>
      <c r="AD47" s="21"/>
    </row>
    <row r="48" spans="1:32">
      <c r="A48" t="s">
        <v>90</v>
      </c>
      <c r="B48" s="23">
        <f>B4*D4*0.7*7/70/1000000000000</f>
        <v>350</v>
      </c>
      <c r="C48" s="24">
        <v>0.3</v>
      </c>
      <c r="D48">
        <f>B48*C48</f>
        <v>105</v>
      </c>
      <c r="E48" s="1">
        <v>100</v>
      </c>
      <c r="F48" s="15">
        <f>D48/D$26*(E$26/E48)^H8*F$26</f>
        <v>21</v>
      </c>
      <c r="G48" s="2"/>
      <c r="V48" s="71"/>
      <c r="W48" s="34"/>
      <c r="AD48" s="21"/>
    </row>
    <row r="49" spans="1:35">
      <c r="A49" t="s">
        <v>91</v>
      </c>
      <c r="B49" s="23">
        <f>B4*D4*0.7*50/70/1000000000000</f>
        <v>2500</v>
      </c>
      <c r="C49" s="24">
        <v>0.1</v>
      </c>
      <c r="D49">
        <f>B49*C49</f>
        <v>250</v>
      </c>
      <c r="E49" s="27">
        <v>1</v>
      </c>
      <c r="F49" s="40">
        <f>D49/D$26*(E$26/E49)^H8*F$26</f>
        <v>5000</v>
      </c>
      <c r="G49" s="2"/>
      <c r="V49" s="71"/>
      <c r="W49" s="34"/>
      <c r="AD49" s="21"/>
    </row>
    <row r="50" spans="1:35">
      <c r="A50" t="s">
        <v>109</v>
      </c>
      <c r="B50" s="46">
        <f>-B4*D4*0.7*7/70/1000000000000</f>
        <v>-350</v>
      </c>
      <c r="C50" s="24">
        <v>0.1</v>
      </c>
      <c r="D50">
        <f>B50*C50</f>
        <v>-35</v>
      </c>
      <c r="E50" s="1">
        <v>0.01</v>
      </c>
      <c r="F50" s="42">
        <f>-D50/D$26*(E$26/E50)^H8*F$26</f>
        <v>70000</v>
      </c>
      <c r="G50" s="2"/>
      <c r="V50" s="71"/>
      <c r="W50" s="34"/>
      <c r="AD50" s="21"/>
    </row>
    <row r="51" spans="1:35">
      <c r="A51" t="s">
        <v>107</v>
      </c>
      <c r="B51" s="46">
        <f>-D4*100000*H7/1000000000000</f>
        <v>-4999.9999999999991</v>
      </c>
      <c r="C51" s="24">
        <v>0.01</v>
      </c>
      <c r="D51">
        <f>B51*C51</f>
        <v>-49.999999999999993</v>
      </c>
      <c r="E51" s="27">
        <v>1E-3</v>
      </c>
      <c r="F51" s="37">
        <f>-D51/D$26*(E$26/E51)^H8*F$26</f>
        <v>999999.99999999988</v>
      </c>
      <c r="G51" s="2"/>
      <c r="U51" s="37">
        <f>-AD6*AG6</f>
        <v>-3.5000000000000001E+35</v>
      </c>
      <c r="V51" s="74">
        <f>C51*P2/H7</f>
        <v>6.0000000000000012E-2</v>
      </c>
      <c r="W51" s="34">
        <f t="shared" si="4"/>
        <v>-2.1000000000000006E+34</v>
      </c>
      <c r="X51" s="26">
        <f t="shared" si="5"/>
        <v>1E-3</v>
      </c>
      <c r="Y51" s="34">
        <f>Y$43*(X$43/X51)^H8*W51/W$43</f>
        <v>-2.0000000000000005E+24</v>
      </c>
      <c r="AB51" s="37">
        <f>-AD6*AG8</f>
        <v>-3.5E+34</v>
      </c>
      <c r="AC51" s="26">
        <f t="shared" si="6"/>
        <v>6.0000000000000012E-2</v>
      </c>
      <c r="AD51" s="36">
        <f t="shared" si="7"/>
        <v>-2.1000000000000003E+33</v>
      </c>
      <c r="AE51" s="26">
        <f>E51</f>
        <v>1E-3</v>
      </c>
      <c r="AF51" s="47">
        <f>AF$43*(AE$43/AE51)^H8*AD51/AD$43</f>
        <v>-2.0000000000000002E+23</v>
      </c>
    </row>
    <row r="52" spans="1:35">
      <c r="A52" s="1" t="s">
        <v>141</v>
      </c>
      <c r="B52" s="37">
        <f>-D4*100000*H7/1000000000000*D8</f>
        <v>-4.9999999999999994E+25</v>
      </c>
      <c r="C52" s="24">
        <v>0.1</v>
      </c>
      <c r="D52" s="26">
        <f>B52*C52</f>
        <v>-4.9999999999999994E+24</v>
      </c>
      <c r="E52" s="27">
        <v>1E-3</v>
      </c>
      <c r="F52" s="37">
        <f>-D52/D$26*(E$26/E52)^H9*F$26</f>
        <v>9.9999999999999988E+24</v>
      </c>
      <c r="G52" s="2"/>
      <c r="U52" s="37">
        <f>-X9*AG8</f>
        <v>-3.5000000000000004E+48</v>
      </c>
      <c r="V52" s="78">
        <v>0.5</v>
      </c>
      <c r="W52" s="34">
        <f t="shared" si="4"/>
        <v>-1.7500000000000002E+48</v>
      </c>
      <c r="X52" s="26">
        <f t="shared" si="5"/>
        <v>1E-3</v>
      </c>
      <c r="Y52" s="34">
        <f>Y$43*(X$43/X52)^H9*W52/W$43</f>
        <v>-1.666666666666667E+33</v>
      </c>
      <c r="AB52" s="26">
        <f>-X9*AG8</f>
        <v>-3.5000000000000004E+48</v>
      </c>
      <c r="AC52" s="77">
        <f>V52</f>
        <v>0.5</v>
      </c>
      <c r="AD52" s="36">
        <f t="shared" si="7"/>
        <v>-1.7500000000000002E+48</v>
      </c>
      <c r="AE52" s="26">
        <v>1E-3</v>
      </c>
      <c r="AF52" s="47">
        <f>AF$43*(AE$43/AE52)^H9*AD52/AD$43</f>
        <v>-1.666666666666667E+33</v>
      </c>
    </row>
    <row r="53" spans="1:35">
      <c r="A53" t="s">
        <v>108</v>
      </c>
      <c r="B53" s="46">
        <f>-(V4*Y4+V5*Y5+V6*Y6)*H45*H7/1000000000000</f>
        <v>-16.666666666666664</v>
      </c>
      <c r="C53" s="25">
        <v>1E-3</v>
      </c>
      <c r="D53">
        <f>B53*C53</f>
        <v>-1.6666666666666663E-2</v>
      </c>
      <c r="E53" s="27">
        <v>1E-4</v>
      </c>
      <c r="F53" s="40">
        <f>-D53/D$26*(E$26/E53)^H8*F$26</f>
        <v>3333.3333333333326</v>
      </c>
      <c r="G53" s="2"/>
      <c r="J53" t="s">
        <v>101</v>
      </c>
      <c r="U53" s="26">
        <f>(-Z4-Z5-Z6)*0.5*5000000000</f>
        <v>-4.1666666666666675E+18</v>
      </c>
      <c r="V53" s="75">
        <f>C53*P2/H7</f>
        <v>6.000000000000001E-3</v>
      </c>
      <c r="W53" s="34">
        <f t="shared" si="4"/>
        <v>-2.5000000000000008E+16</v>
      </c>
      <c r="X53" s="26">
        <f t="shared" si="5"/>
        <v>1E-4</v>
      </c>
      <c r="Y53" s="34">
        <f>Y$43*(X$43/X53)^H8*W53/W$43</f>
        <v>-23809523.809523817</v>
      </c>
      <c r="AB53" s="26">
        <f>(-Z4-Z5-Z6)*0.5*5000000000</f>
        <v>-4.1666666666666675E+18</v>
      </c>
      <c r="AC53" s="76">
        <f>V53</f>
        <v>6.000000000000001E-3</v>
      </c>
      <c r="AD53" s="34">
        <f t="shared" si="7"/>
        <v>-2.5000000000000008E+16</v>
      </c>
      <c r="AE53" s="26">
        <f>E53</f>
        <v>1E-4</v>
      </c>
      <c r="AF53" s="47">
        <f>AF$43*(AE$43/AE53)^H8*AD53/AD$43</f>
        <v>-23809523.809523817</v>
      </c>
    </row>
    <row r="54" spans="1:35">
      <c r="A54" t="s">
        <v>113</v>
      </c>
      <c r="B54" s="37">
        <f>(-D34-D14)*(D8-1)/(D8)*(1-F9)^C9</f>
        <v>-37005339128121.25</v>
      </c>
      <c r="C54" s="25"/>
      <c r="E54" s="27">
        <v>1</v>
      </c>
      <c r="F54" s="37">
        <f>-B54/(E54/1000)</f>
        <v>3.7005339128121248E+16</v>
      </c>
      <c r="G54" s="2"/>
      <c r="J54" s="37">
        <f>(-L34-L14)*(L6*M6+L7*M7+L8*M8+Q4*R4+Q5*R5+Q6*R6)/S8</f>
        <v>-1882105.4156525328</v>
      </c>
      <c r="M54" s="26">
        <f>E54</f>
        <v>1</v>
      </c>
      <c r="N54" s="48">
        <f>-J54/(M54*1000)</f>
        <v>1882.1054156525329</v>
      </c>
      <c r="U54" s="47">
        <f>-W34-W14</f>
        <v>3.5000003150000007E+47</v>
      </c>
      <c r="V54" s="25"/>
      <c r="X54" s="30">
        <f>E54</f>
        <v>1</v>
      </c>
      <c r="Y54" s="47">
        <f>-U54/(X54*1000)</f>
        <v>-3.5000003150000009E+44</v>
      </c>
      <c r="AB54" s="36">
        <f>-AD34-AD14</f>
        <v>-3.4650003118499998E+49</v>
      </c>
      <c r="AD54" s="21"/>
      <c r="AE54" s="26">
        <f>E54</f>
        <v>1</v>
      </c>
      <c r="AF54" s="47">
        <f>-AB54/(AE54*1000)</f>
        <v>3.46500031185E+46</v>
      </c>
      <c r="AG54" s="47"/>
    </row>
    <row r="55" spans="1:35">
      <c r="A55" t="s">
        <v>110</v>
      </c>
      <c r="B55" s="37">
        <f>(-D22-D21)*(D8-1)/(D8)*(1-F9)^C9</f>
        <v>-74054324.095450982</v>
      </c>
      <c r="C55" s="25"/>
      <c r="E55" s="39">
        <v>10000</v>
      </c>
      <c r="F55" s="37">
        <f>-B55/(E55/1000)</f>
        <v>7405432.4095450984</v>
      </c>
      <c r="G55" s="2"/>
      <c r="J55" s="30">
        <f>(-L22-L21)*(L6*M6+L7*M7+L8*M8+Q4*R4+Q5*R5+Q6*R6)/S8</f>
        <v>-35.76</v>
      </c>
      <c r="M55" s="38">
        <f>E55</f>
        <v>10000</v>
      </c>
      <c r="N55" s="37">
        <f>-J55/(M55*1000)</f>
        <v>3.5759999999999997E-6</v>
      </c>
      <c r="U55" s="47">
        <f>-W22-W21</f>
        <v>4.2000000000000011E+42</v>
      </c>
      <c r="V55" s="25"/>
      <c r="X55" s="38">
        <f>E55</f>
        <v>10000</v>
      </c>
      <c r="Y55" s="47">
        <f>-U55/(X55*1000)</f>
        <v>-4.2000000000000013E+35</v>
      </c>
      <c r="AB55" s="36">
        <f>-AD22-AD21</f>
        <v>-4.1580000000000005E+44</v>
      </c>
      <c r="AD55" s="21"/>
      <c r="AE55" s="38">
        <f>E55</f>
        <v>10000</v>
      </c>
      <c r="AF55" s="47">
        <f>-AB55/(AE55*1000)</f>
        <v>4.1580000000000005E+37</v>
      </c>
      <c r="AG55" s="47"/>
    </row>
    <row r="56" spans="1:35">
      <c r="A56" t="s">
        <v>32</v>
      </c>
      <c r="F56" s="1">
        <v>1</v>
      </c>
      <c r="G56" s="2">
        <v>30000</v>
      </c>
    </row>
    <row r="57" spans="1:35">
      <c r="A57" t="s">
        <v>45</v>
      </c>
      <c r="F57" s="10">
        <f>F56</f>
        <v>1</v>
      </c>
      <c r="G57" s="2"/>
      <c r="AI57" t="s">
        <v>100</v>
      </c>
    </row>
    <row r="58" spans="1:35">
      <c r="A58" t="s">
        <v>81</v>
      </c>
      <c r="F58">
        <f>F$56*G$56/G58</f>
        <v>0.3</v>
      </c>
      <c r="G58" s="2">
        <v>100000</v>
      </c>
    </row>
    <row r="59" spans="1:35">
      <c r="A59" t="s">
        <v>82</v>
      </c>
      <c r="F59">
        <f>F$56*G$56/G59</f>
        <v>0.1</v>
      </c>
      <c r="G59" s="2">
        <v>300000</v>
      </c>
    </row>
    <row r="60" spans="1:35">
      <c r="A60" t="s">
        <v>83</v>
      </c>
      <c r="F60">
        <f>F$56*G$56/G60</f>
        <v>0.03</v>
      </c>
      <c r="G60" s="2">
        <v>1000000</v>
      </c>
    </row>
    <row r="61" spans="1:35">
      <c r="A61" t="s">
        <v>84</v>
      </c>
      <c r="F61">
        <f>F$56*G$56/G61</f>
        <v>0.01</v>
      </c>
      <c r="G61" s="2">
        <v>3000000</v>
      </c>
    </row>
    <row r="62" spans="1:35">
      <c r="A62" t="s">
        <v>85</v>
      </c>
      <c r="F62">
        <f>F$56*G$56/G62</f>
        <v>3.0000000000000001E-3</v>
      </c>
      <c r="G62" s="2">
        <v>10000000</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Denkenberger</dc:creator>
  <cp:lastModifiedBy>ddenkenberger</cp:lastModifiedBy>
  <dcterms:created xsi:type="dcterms:W3CDTF">2011-04-03T23:34:40Z</dcterms:created>
  <dcterms:modified xsi:type="dcterms:W3CDTF">2011-08-14T01:12:32Z</dcterms:modified>
</cp:coreProperties>
</file>